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7.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https://sagris-my.sharepoint.com/personal/info_acquabuild_com1/Documents/APPS 2022/ifr_procava_locked/"/>
    </mc:Choice>
  </mc:AlternateContent>
  <xr:revisionPtr revIDLastSave="476" documentId="8_{F98A305B-ACC2-46FE-A8B2-FCDF3381A05F}" xr6:coauthVersionLast="47" xr6:coauthVersionMax="47" xr10:uidLastSave="{BC4E10E2-2D47-47B2-A766-8AC3525FD9B7}"/>
  <bookViews>
    <workbookView xWindow="-120" yWindow="-120" windowWidth="29040" windowHeight="15840" activeTab="5" xr2:uid="{42F52894-EA76-48E4-9F8F-AEE90140152A}"/>
  </bookViews>
  <sheets>
    <sheet name="Sheet5" sheetId="5" r:id="rId1"/>
    <sheet name="MIMAIP" sheetId="6" r:id="rId2"/>
    <sheet name="summary" sheetId="8" r:id="rId3"/>
    <sheet name="Sheet1" sheetId="9" r:id="rId4"/>
    <sheet name="RESUMO LIGADO" sheetId="10" r:id="rId5"/>
    <sheet name="DETALHES" sheetId="1" r:id="rId6"/>
    <sheet name="cri_costabs" sheetId="12" r:id="rId7"/>
    <sheet name="RESUMO" sheetId="11" r:id="rId8"/>
    <sheet name="Sheet7" sheetId="7" r:id="rId9"/>
    <sheet name="Sheet4" sheetId="4" r:id="rId10"/>
    <sheet name="Sheet3" sheetId="3" r:id="rId11"/>
    <sheet name="Sheet2" sheetId="2" r:id="rId12"/>
  </sheets>
  <definedNames>
    <definedName name="_xlnm._FilterDatabase" localSheetId="6" hidden="1">cri_costabs!$A$1:$T$26</definedName>
    <definedName name="_xlnm._FilterDatabase" localSheetId="5" hidden="1">DETALHES!$D$4:$AA$49</definedName>
    <definedName name="_xlnm._FilterDatabase" localSheetId="1" hidden="1">MIMAIP!$F$2:$F$62</definedName>
  </definedNames>
  <calcPr calcId="191029"/>
  <pivotCaches>
    <pivotCache cacheId="0" r:id="rId13"/>
    <pivotCache cacheId="1" r:id="rId14"/>
    <pivotCache cacheId="2"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67" i="1" l="1"/>
  <c r="H53" i="1"/>
  <c r="H54" i="1"/>
  <c r="H55" i="1"/>
  <c r="H56" i="1"/>
  <c r="H57" i="1"/>
  <c r="H58" i="1"/>
  <c r="H59" i="1"/>
  <c r="H60" i="1"/>
  <c r="H61" i="1"/>
  <c r="H62" i="1"/>
  <c r="H63" i="1"/>
  <c r="H64" i="1"/>
  <c r="H65" i="1"/>
  <c r="H66" i="1"/>
  <c r="H52" i="1"/>
  <c r="E67" i="1"/>
  <c r="F67" i="1"/>
  <c r="G67" i="1"/>
  <c r="E60" i="1"/>
  <c r="F58" i="1"/>
  <c r="N49" i="1"/>
  <c r="P49" i="1"/>
  <c r="Q49" i="1"/>
  <c r="R49" i="1"/>
  <c r="S49" i="1"/>
  <c r="T49" i="1"/>
  <c r="U49" i="1"/>
  <c r="O9" i="1"/>
  <c r="O49" i="1" s="1"/>
  <c r="E25" i="1"/>
  <c r="I25" i="1"/>
  <c r="J25" i="1" s="1"/>
  <c r="AA25" i="1"/>
  <c r="AS25" i="1"/>
  <c r="AW28" i="1"/>
  <c r="AA28" i="1"/>
  <c r="I28" i="1"/>
  <c r="E28" i="1"/>
  <c r="AA27" i="1"/>
  <c r="I27" i="1"/>
  <c r="E27" i="1"/>
  <c r="AA26" i="1"/>
  <c r="I26" i="1"/>
  <c r="AB26" i="1" s="1"/>
  <c r="E26" i="1"/>
  <c r="E24" i="1"/>
  <c r="I24" i="1"/>
  <c r="J24" i="1" s="1"/>
  <c r="AA24" i="1"/>
  <c r="AS24" i="1"/>
  <c r="G39" i="1"/>
  <c r="AT39" i="1" s="1"/>
  <c r="AU40" i="1"/>
  <c r="F1" i="1"/>
  <c r="G1" i="1"/>
  <c r="H1" i="1"/>
  <c r="I2" i="1"/>
  <c r="J1" i="1"/>
  <c r="K1" i="1"/>
  <c r="L1" i="1"/>
  <c r="M1" i="1"/>
  <c r="N2" i="1"/>
  <c r="O2" i="1"/>
  <c r="P2" i="1"/>
  <c r="Q2" i="1"/>
  <c r="R2" i="1"/>
  <c r="S2" i="1"/>
  <c r="T2" i="1"/>
  <c r="U2" i="1"/>
  <c r="V2" i="1"/>
  <c r="W2" i="1"/>
  <c r="X2" i="1"/>
  <c r="Y2" i="1"/>
  <c r="Z2" i="1"/>
  <c r="AA2" i="1"/>
  <c r="AB2" i="1"/>
  <c r="AC2" i="1"/>
  <c r="AD2" i="1"/>
  <c r="AE2" i="1"/>
  <c r="AF2" i="1"/>
  <c r="AG2" i="1"/>
  <c r="AH2" i="1"/>
  <c r="AI2" i="1"/>
  <c r="AJ2" i="1"/>
  <c r="AK2" i="1"/>
  <c r="AL2" i="1"/>
  <c r="AM2" i="1"/>
  <c r="AN2" i="1"/>
  <c r="AO2" i="1"/>
  <c r="AP2" i="1"/>
  <c r="AR2" i="1"/>
  <c r="AS2" i="1"/>
  <c r="AT2" i="1"/>
  <c r="AU2" i="1"/>
  <c r="AV2" i="1"/>
  <c r="AW2" i="1"/>
  <c r="AX2" i="1"/>
  <c r="AY2" i="1"/>
  <c r="AZ2" i="1"/>
  <c r="BA2" i="1"/>
  <c r="BB2" i="1"/>
  <c r="BC2" i="1"/>
  <c r="E1" i="1"/>
  <c r="AW41" i="1"/>
  <c r="AR37" i="1"/>
  <c r="AT37" i="1" s="1"/>
  <c r="AV36" i="1"/>
  <c r="AT36" i="1"/>
  <c r="AR36" i="1"/>
  <c r="AO36" i="1"/>
  <c r="AV35" i="1"/>
  <c r="AT35" i="1"/>
  <c r="AR35" i="1"/>
  <c r="AO35" i="1"/>
  <c r="AU47" i="1"/>
  <c r="AP47" i="1"/>
  <c r="AS47" i="1" s="1"/>
  <c r="AV44" i="1"/>
  <c r="AS43" i="1"/>
  <c r="AU45" i="1"/>
  <c r="AP45" i="1"/>
  <c r="AP31" i="1"/>
  <c r="Y43" i="1"/>
  <c r="Y49" i="1" s="1"/>
  <c r="Z43" i="1"/>
  <c r="Z49" i="1" s="1"/>
  <c r="AE43" i="1"/>
  <c r="AF43" i="1"/>
  <c r="AG43" i="1"/>
  <c r="AH43" i="1"/>
  <c r="AI43" i="1"/>
  <c r="AJ43" i="1"/>
  <c r="AK43" i="1"/>
  <c r="AL43" i="1"/>
  <c r="AE9" i="1"/>
  <c r="AF9" i="1"/>
  <c r="AG9" i="1"/>
  <c r="AH9" i="1"/>
  <c r="AI9" i="1"/>
  <c r="AJ9" i="1"/>
  <c r="AK9" i="1"/>
  <c r="AL9" i="1"/>
  <c r="G23" i="1"/>
  <c r="AT23" i="1" s="1"/>
  <c r="AW21" i="1"/>
  <c r="AX21" i="1" s="1"/>
  <c r="I46" i="1"/>
  <c r="I47" i="1"/>
  <c r="K47" i="1" s="1"/>
  <c r="I29" i="1"/>
  <c r="J29" i="1" s="1"/>
  <c r="I30" i="1"/>
  <c r="J30" i="1" s="1"/>
  <c r="I31" i="1"/>
  <c r="K31" i="1" s="1"/>
  <c r="I32" i="1"/>
  <c r="J32" i="1" s="1"/>
  <c r="I33" i="1"/>
  <c r="J33" i="1" s="1"/>
  <c r="I34" i="1"/>
  <c r="I35" i="1"/>
  <c r="I36" i="1"/>
  <c r="I38" i="1"/>
  <c r="I41" i="1"/>
  <c r="I42" i="1"/>
  <c r="J42" i="1" s="1"/>
  <c r="AI49" i="1" l="1"/>
  <c r="AH49" i="1"/>
  <c r="AK49" i="1"/>
  <c r="AG49" i="1"/>
  <c r="J26" i="1"/>
  <c r="U26" i="1" s="1"/>
  <c r="AF49" i="1"/>
  <c r="AD26" i="1"/>
  <c r="AE49" i="1"/>
  <c r="AW47" i="1"/>
  <c r="AD25" i="1"/>
  <c r="AJ49" i="1"/>
  <c r="AB24" i="1"/>
  <c r="AD24" i="1"/>
  <c r="AD27" i="1"/>
  <c r="K26" i="1"/>
  <c r="AC25" i="1"/>
  <c r="T25" i="1"/>
  <c r="W25" i="1" s="1"/>
  <c r="S25" i="1"/>
  <c r="V25" i="1" s="1"/>
  <c r="U25" i="1"/>
  <c r="X25" i="1" s="1"/>
  <c r="AC26" i="1"/>
  <c r="AC24" i="1"/>
  <c r="K24" i="1"/>
  <c r="S26" i="1"/>
  <c r="V26" i="1" s="1"/>
  <c r="AB25" i="1"/>
  <c r="K25" i="1"/>
  <c r="T26" i="1"/>
  <c r="W26" i="1" s="1"/>
  <c r="AD28" i="1"/>
  <c r="X26" i="1"/>
  <c r="K28" i="1"/>
  <c r="J27" i="1"/>
  <c r="L28" i="1"/>
  <c r="K27" i="1"/>
  <c r="AB27" i="1"/>
  <c r="M28" i="1"/>
  <c r="AB28" i="1"/>
  <c r="AC27" i="1"/>
  <c r="AC28" i="1"/>
  <c r="U24" i="1"/>
  <c r="X24" i="1" s="1"/>
  <c r="T24" i="1"/>
  <c r="W24" i="1" s="1"/>
  <c r="K35" i="1"/>
  <c r="S24" i="1"/>
  <c r="V24" i="1" s="1"/>
  <c r="K32" i="1"/>
  <c r="AS45" i="1"/>
  <c r="AW45" i="1" s="1"/>
  <c r="AU37" i="1"/>
  <c r="K38" i="1"/>
  <c r="K46" i="1"/>
  <c r="K29" i="1"/>
  <c r="K30" i="1"/>
  <c r="K36" i="1"/>
  <c r="K42" i="1"/>
  <c r="K34" i="1"/>
  <c r="L34" i="1" s="1"/>
  <c r="K41" i="1"/>
  <c r="K33" i="1"/>
  <c r="T27" i="1" l="1"/>
  <c r="W27" i="1" s="1"/>
  <c r="U27" i="1"/>
  <c r="X27" i="1"/>
  <c r="S27" i="1"/>
  <c r="V27" i="1" s="1"/>
  <c r="J28" i="1"/>
  <c r="M35" i="1"/>
  <c r="L35" i="1"/>
  <c r="M36" i="1"/>
  <c r="L36" i="1"/>
  <c r="I5" i="1"/>
  <c r="I6" i="1"/>
  <c r="I7" i="1"/>
  <c r="I8" i="1"/>
  <c r="I9" i="1"/>
  <c r="I10" i="1"/>
  <c r="I14" i="1"/>
  <c r="AB14" i="1" s="1"/>
  <c r="I15" i="1"/>
  <c r="I19" i="1"/>
  <c r="AB19" i="1" s="1"/>
  <c r="I20" i="1"/>
  <c r="AB30" i="1"/>
  <c r="AB31" i="1"/>
  <c r="AC34" i="1"/>
  <c r="AC37" i="1"/>
  <c r="AB38" i="1"/>
  <c r="AB40" i="1"/>
  <c r="I44" i="1"/>
  <c r="I45" i="1"/>
  <c r="AB46" i="1"/>
  <c r="AC47" i="1"/>
  <c r="I48" i="1"/>
  <c r="M41" i="1"/>
  <c r="U42" i="1"/>
  <c r="AA48" i="1"/>
  <c r="E9" i="1"/>
  <c r="E10" i="1"/>
  <c r="E11" i="1"/>
  <c r="E12" i="1"/>
  <c r="E13" i="1"/>
  <c r="E14" i="1"/>
  <c r="E15" i="1"/>
  <c r="E16" i="1"/>
  <c r="E17" i="1"/>
  <c r="E18" i="1"/>
  <c r="E19" i="1"/>
  <c r="E20" i="1"/>
  <c r="E21" i="1"/>
  <c r="E22" i="1"/>
  <c r="E23" i="1"/>
  <c r="E29" i="1"/>
  <c r="E30" i="1"/>
  <c r="E31" i="1"/>
  <c r="E32" i="1"/>
  <c r="E33" i="1"/>
  <c r="E37" i="1"/>
  <c r="E42" i="1"/>
  <c r="E43" i="1"/>
  <c r="E44" i="1"/>
  <c r="E45" i="1"/>
  <c r="E46" i="1"/>
  <c r="E47" i="1"/>
  <c r="E48" i="1"/>
  <c r="AY12" i="1"/>
  <c r="G33" i="6"/>
  <c r="AC32" i="1"/>
  <c r="AB34" i="1"/>
  <c r="AB39" i="1"/>
  <c r="AC39" i="1"/>
  <c r="M34" i="1"/>
  <c r="J34" i="1" s="1"/>
  <c r="AA47" i="1"/>
  <c r="AD47" i="1" s="1"/>
  <c r="AA34" i="1"/>
  <c r="AA35" i="1"/>
  <c r="AA36" i="1"/>
  <c r="AA37" i="1"/>
  <c r="AA38" i="1"/>
  <c r="AA39" i="1"/>
  <c r="AD39" i="1" s="1"/>
  <c r="AA40" i="1"/>
  <c r="AA41" i="1"/>
  <c r="AA42" i="1"/>
  <c r="AA44" i="1"/>
  <c r="AA45" i="1"/>
  <c r="AA33" i="1"/>
  <c r="AA11" i="1"/>
  <c r="AA12" i="1"/>
  <c r="AA13" i="1"/>
  <c r="AA14" i="1"/>
  <c r="AA15" i="1"/>
  <c r="AA16" i="1"/>
  <c r="AA17" i="1"/>
  <c r="AA18" i="1"/>
  <c r="AA19" i="1"/>
  <c r="AA20" i="1"/>
  <c r="AA21" i="1"/>
  <c r="AA22" i="1"/>
  <c r="AA23" i="1"/>
  <c r="AA29" i="1"/>
  <c r="AA30" i="1"/>
  <c r="AA31" i="1"/>
  <c r="AA32" i="1"/>
  <c r="AD32" i="1" s="1"/>
  <c r="AA46" i="1"/>
  <c r="G17" i="1"/>
  <c r="I17" i="1" s="1"/>
  <c r="G18" i="1"/>
  <c r="I2" i="3"/>
  <c r="G11" i="1"/>
  <c r="I16" i="1" s="1"/>
  <c r="E49" i="1"/>
  <c r="H21" i="1"/>
  <c r="H23" i="1"/>
  <c r="I23" i="1" s="1"/>
  <c r="L23" i="1" s="1"/>
  <c r="H12" i="1"/>
  <c r="E5" i="1"/>
  <c r="E6" i="1"/>
  <c r="E7" i="1"/>
  <c r="E8" i="1"/>
  <c r="J35" i="1" l="1"/>
  <c r="T35" i="1" s="1"/>
  <c r="W35" i="1" s="1"/>
  <c r="S28" i="1"/>
  <c r="V28" i="1" s="1"/>
  <c r="T28" i="1"/>
  <c r="W28" i="1" s="1"/>
  <c r="U28" i="1"/>
  <c r="X28" i="1" s="1"/>
  <c r="I22" i="1"/>
  <c r="L22" i="1" s="1"/>
  <c r="AT22" i="1"/>
  <c r="J36" i="1"/>
  <c r="T36" i="1" s="1"/>
  <c r="W36" i="1" s="1"/>
  <c r="G13" i="1"/>
  <c r="I13" i="1" s="1"/>
  <c r="K13" i="1" s="1"/>
  <c r="AW18" i="1"/>
  <c r="AX18" i="1" s="1"/>
  <c r="AB8" i="1"/>
  <c r="K8" i="1"/>
  <c r="J8" i="1"/>
  <c r="K23" i="1"/>
  <c r="AA43" i="1"/>
  <c r="AA49" i="1" s="1"/>
  <c r="AB7" i="1"/>
  <c r="J7" i="1"/>
  <c r="K7" i="1"/>
  <c r="AC5" i="1"/>
  <c r="J5" i="1"/>
  <c r="K5" i="1"/>
  <c r="K16" i="1"/>
  <c r="L16" i="1" s="1"/>
  <c r="J15" i="1"/>
  <c r="K15" i="1"/>
  <c r="J14" i="1"/>
  <c r="K14" i="1"/>
  <c r="K44" i="1"/>
  <c r="L44" i="1" s="1"/>
  <c r="J44" i="1" s="1"/>
  <c r="S44" i="1" s="1"/>
  <c r="J10" i="1"/>
  <c r="K10" i="1"/>
  <c r="AB45" i="1"/>
  <c r="K45" i="1"/>
  <c r="L45" i="1" s="1"/>
  <c r="J45" i="1" s="1"/>
  <c r="J20" i="1"/>
  <c r="S20" i="1" s="1"/>
  <c r="V20" i="1" s="1"/>
  <c r="K20" i="1"/>
  <c r="J6" i="1"/>
  <c r="K6" i="1"/>
  <c r="J19" i="1"/>
  <c r="K19" i="1"/>
  <c r="K17" i="1"/>
  <c r="L17" i="1" s="1"/>
  <c r="J17" i="1" s="1"/>
  <c r="AB48" i="1"/>
  <c r="J48" i="1"/>
  <c r="U48" i="1" s="1"/>
  <c r="X48" i="1" s="1"/>
  <c r="K48" i="1"/>
  <c r="I21" i="1"/>
  <c r="L21" i="1" s="1"/>
  <c r="I12" i="1"/>
  <c r="I11" i="1"/>
  <c r="I18" i="1"/>
  <c r="AB47" i="1"/>
  <c r="AC33" i="1"/>
  <c r="AD40" i="1"/>
  <c r="AB32" i="1"/>
  <c r="S40" i="1"/>
  <c r="V40" i="1" s="1"/>
  <c r="AC40" i="1"/>
  <c r="S30" i="1"/>
  <c r="V30" i="1" s="1"/>
  <c r="AD10" i="1"/>
  <c r="AC29" i="1"/>
  <c r="AB44" i="1"/>
  <c r="AB6" i="1"/>
  <c r="AB20" i="1"/>
  <c r="M38" i="1"/>
  <c r="AC38" i="1"/>
  <c r="AD38" i="1"/>
  <c r="AD29" i="1"/>
  <c r="L38" i="1"/>
  <c r="AB29" i="1"/>
  <c r="AC15" i="1"/>
  <c r="AD42" i="1"/>
  <c r="AD34" i="1"/>
  <c r="M47" i="1"/>
  <c r="U34" i="1"/>
  <c r="AC42" i="1"/>
  <c r="AC36" i="1"/>
  <c r="AB42" i="1"/>
  <c r="AC48" i="1"/>
  <c r="AB36" i="1"/>
  <c r="AC35" i="1"/>
  <c r="AD36" i="1"/>
  <c r="AB35" i="1"/>
  <c r="AD35" i="1"/>
  <c r="AC41" i="1"/>
  <c r="AB41" i="1"/>
  <c r="AB37" i="1"/>
  <c r="AD37" i="1"/>
  <c r="AD41" i="1"/>
  <c r="L41" i="1"/>
  <c r="J41" i="1" s="1"/>
  <c r="AD48" i="1"/>
  <c r="AD44" i="1"/>
  <c r="AD46" i="1"/>
  <c r="AD20" i="1"/>
  <c r="AD17" i="1"/>
  <c r="AD15" i="1"/>
  <c r="AD31" i="1"/>
  <c r="AC31" i="1"/>
  <c r="AD19" i="1"/>
  <c r="AD30" i="1"/>
  <c r="AD14" i="1"/>
  <c r="AD45" i="1"/>
  <c r="AC46" i="1"/>
  <c r="AD33" i="1"/>
  <c r="AB33" i="1"/>
  <c r="AC10" i="1"/>
  <c r="AC19" i="1"/>
  <c r="AB10" i="1"/>
  <c r="AB5" i="1"/>
  <c r="AC14" i="1"/>
  <c r="AD5" i="1"/>
  <c r="AC45" i="1"/>
  <c r="AC30" i="1"/>
  <c r="AC20" i="1"/>
  <c r="AB15" i="1"/>
  <c r="AD8" i="1"/>
  <c r="AC44" i="1"/>
  <c r="AC8" i="1"/>
  <c r="AD7" i="1"/>
  <c r="AC7" i="1"/>
  <c r="AC17" i="1"/>
  <c r="AD6" i="1"/>
  <c r="AB17" i="1"/>
  <c r="AC6" i="1"/>
  <c r="T42" i="1"/>
  <c r="W42" i="1" s="1"/>
  <c r="S32" i="1"/>
  <c r="V32" i="1" s="1"/>
  <c r="U32" i="1"/>
  <c r="X32" i="1" s="1"/>
  <c r="T32" i="1"/>
  <c r="W32" i="1" s="1"/>
  <c r="T29" i="1"/>
  <c r="W29" i="1" s="1"/>
  <c r="S29" i="1"/>
  <c r="V29" i="1" s="1"/>
  <c r="U29" i="1"/>
  <c r="X29" i="1" s="1"/>
  <c r="S36" i="1"/>
  <c r="V36" i="1" s="1"/>
  <c r="T40" i="1"/>
  <c r="W40" i="1" s="1"/>
  <c r="S42" i="1"/>
  <c r="V42" i="1" s="1"/>
  <c r="X42" i="1"/>
  <c r="L31" i="1"/>
  <c r="M31" i="1"/>
  <c r="L46" i="1"/>
  <c r="U35" i="1" l="1"/>
  <c r="X35" i="1" s="1"/>
  <c r="S35" i="1"/>
  <c r="V35" i="1" s="1"/>
  <c r="U36" i="1"/>
  <c r="X36" i="1" s="1"/>
  <c r="AD13" i="1"/>
  <c r="L13" i="1"/>
  <c r="J13" i="1" s="1"/>
  <c r="AC13" i="1"/>
  <c r="K22" i="1"/>
  <c r="AB13" i="1"/>
  <c r="AB22" i="1"/>
  <c r="J38" i="1"/>
  <c r="T38" i="1" s="1"/>
  <c r="W38" i="1" s="1"/>
  <c r="J31" i="1"/>
  <c r="T31" i="1" s="1"/>
  <c r="W31" i="1" s="1"/>
  <c r="V44" i="1"/>
  <c r="K12" i="1"/>
  <c r="AC43" i="1"/>
  <c r="K18" i="1"/>
  <c r="L43" i="1"/>
  <c r="J46" i="1"/>
  <c r="T46" i="1" s="1"/>
  <c r="W46" i="1" s="1"/>
  <c r="K21" i="1"/>
  <c r="I49" i="1"/>
  <c r="K11" i="1"/>
  <c r="M43" i="1"/>
  <c r="J47" i="1"/>
  <c r="U47" i="1" s="1"/>
  <c r="X47" i="1" s="1"/>
  <c r="AB43" i="1"/>
  <c r="K43" i="1"/>
  <c r="AD43" i="1"/>
  <c r="S19" i="1"/>
  <c r="V19" i="1" s="1"/>
  <c r="T48" i="1"/>
  <c r="W48" i="1" s="1"/>
  <c r="U40" i="1"/>
  <c r="X40" i="1" s="1"/>
  <c r="S48" i="1"/>
  <c r="V48" i="1" s="1"/>
  <c r="AC16" i="1"/>
  <c r="AD22" i="1"/>
  <c r="AB16" i="1"/>
  <c r="AD16" i="1"/>
  <c r="AC22" i="1"/>
  <c r="M22" i="1"/>
  <c r="AD23" i="1"/>
  <c r="AB23" i="1"/>
  <c r="AC23" i="1"/>
  <c r="AB18" i="1"/>
  <c r="AC18" i="1"/>
  <c r="AD18" i="1"/>
  <c r="AD21" i="1"/>
  <c r="AB21" i="1"/>
  <c r="AC21" i="1"/>
  <c r="AB11" i="1"/>
  <c r="AC11" i="1"/>
  <c r="AD11" i="1"/>
  <c r="AD12" i="1"/>
  <c r="AB12" i="1"/>
  <c r="AC12" i="1"/>
  <c r="U33" i="1"/>
  <c r="X33" i="1" s="1"/>
  <c r="T33" i="1"/>
  <c r="W33" i="1" s="1"/>
  <c r="U39" i="1"/>
  <c r="X39" i="1" s="1"/>
  <c r="S39" i="1"/>
  <c r="V39" i="1" s="1"/>
  <c r="T44" i="1"/>
  <c r="U44" i="1"/>
  <c r="X34" i="1"/>
  <c r="S34" i="1"/>
  <c r="V34" i="1" s="1"/>
  <c r="T34" i="1"/>
  <c r="W34" i="1" s="1"/>
  <c r="T30" i="1"/>
  <c r="W30" i="1" s="1"/>
  <c r="U30" i="1"/>
  <c r="X30" i="1" s="1"/>
  <c r="U17" i="1"/>
  <c r="X17" i="1" s="1"/>
  <c r="T17" i="1"/>
  <c r="W17" i="1" s="1"/>
  <c r="S33" i="1"/>
  <c r="V33" i="1" s="1"/>
  <c r="T45" i="1"/>
  <c r="W45" i="1" s="1"/>
  <c r="S45" i="1"/>
  <c r="V45" i="1" s="1"/>
  <c r="U45" i="1"/>
  <c r="X45" i="1" s="1"/>
  <c r="S17" i="1"/>
  <c r="V17" i="1" s="1"/>
  <c r="U20" i="1"/>
  <c r="X20" i="1" s="1"/>
  <c r="T20" i="1"/>
  <c r="W20" i="1" s="1"/>
  <c r="U19" i="1"/>
  <c r="X19" i="1" s="1"/>
  <c r="T19" i="1"/>
  <c r="W19" i="1" s="1"/>
  <c r="T39" i="1"/>
  <c r="W39" i="1" s="1"/>
  <c r="L12" i="1"/>
  <c r="J12" i="1" s="1"/>
  <c r="M23" i="1"/>
  <c r="M21" i="1"/>
  <c r="L11" i="1"/>
  <c r="AD9" i="1" l="1"/>
  <c r="AD49" i="1" s="1"/>
  <c r="K9" i="1"/>
  <c r="AB9" i="1"/>
  <c r="AB49" i="1" s="1"/>
  <c r="AC9" i="1"/>
  <c r="AC49" i="1" s="1"/>
  <c r="K49" i="1"/>
  <c r="M18" i="1"/>
  <c r="M9" i="1" s="1"/>
  <c r="M49" i="1" s="1"/>
  <c r="L18" i="1"/>
  <c r="L9" i="1" s="1"/>
  <c r="L49" i="1" s="1"/>
  <c r="J21" i="1"/>
  <c r="J23" i="1"/>
  <c r="J22" i="1"/>
  <c r="J11" i="1"/>
  <c r="S37" i="1"/>
  <c r="V37" i="1" s="1"/>
  <c r="S47" i="1"/>
  <c r="V47" i="1" s="1"/>
  <c r="T47" i="1"/>
  <c r="J43" i="1"/>
  <c r="J18" i="1" l="1"/>
  <c r="T11" i="1"/>
  <c r="U11" i="1"/>
  <c r="S11" i="1"/>
  <c r="U10" i="1"/>
  <c r="X10" i="1" s="1"/>
  <c r="T10" i="1"/>
  <c r="W10" i="1" s="1"/>
  <c r="S10" i="1"/>
  <c r="V10" i="1" s="1"/>
  <c r="W11" i="1" l="1"/>
  <c r="V11" i="1"/>
  <c r="X11" i="1"/>
  <c r="U8" i="1"/>
  <c r="X8" i="1" s="1"/>
  <c r="S8" i="1"/>
  <c r="V8" i="1" s="1"/>
  <c r="T8" i="1"/>
  <c r="W8" i="1" s="1"/>
  <c r="S7" i="1"/>
  <c r="V7" i="1" s="1"/>
  <c r="U7" i="1"/>
  <c r="X7" i="1" s="1"/>
  <c r="T7" i="1"/>
  <c r="W7" i="1" s="1"/>
  <c r="S5" i="1" l="1"/>
  <c r="V5" i="1" s="1"/>
  <c r="T5" i="1"/>
  <c r="W5" i="1" s="1"/>
  <c r="U5" i="1"/>
  <c r="X5" i="1" s="1"/>
  <c r="U6" i="1"/>
  <c r="X6" i="1" s="1"/>
  <c r="S6" i="1"/>
  <c r="V6" i="1" s="1"/>
  <c r="T6" i="1"/>
  <c r="W6" i="1" s="1"/>
  <c r="T41" i="1" l="1"/>
  <c r="W41" i="1" s="1"/>
  <c r="W47" i="1"/>
  <c r="U31" i="1"/>
  <c r="X31" i="1" s="1"/>
  <c r="S31" i="1"/>
  <c r="V31" i="1" s="1"/>
  <c r="W44" i="1"/>
  <c r="X44" i="1"/>
  <c r="U41" i="1"/>
  <c r="X41" i="1" s="1"/>
  <c r="S41" i="1"/>
  <c r="V41" i="1" s="1"/>
  <c r="S14" i="1"/>
  <c r="V14" i="1" s="1"/>
  <c r="T14" i="1"/>
  <c r="W14" i="1" s="1"/>
  <c r="S18" i="1"/>
  <c r="V18" i="1" s="1"/>
  <c r="U14" i="1"/>
  <c r="X14" i="1" s="1"/>
  <c r="T37" i="1"/>
  <c r="W37" i="1" s="1"/>
  <c r="U37" i="1"/>
  <c r="X37" i="1" s="1"/>
  <c r="S38" i="1"/>
  <c r="V38" i="1" s="1"/>
  <c r="U38" i="1"/>
  <c r="X38" i="1" s="1"/>
  <c r="U22" i="1"/>
  <c r="X22" i="1" s="1"/>
  <c r="T21" i="1"/>
  <c r="W21" i="1" s="1"/>
  <c r="T23" i="1"/>
  <c r="W23" i="1" s="1"/>
  <c r="U46" i="1"/>
  <c r="X46" i="1" s="1"/>
  <c r="S46" i="1"/>
  <c r="V46" i="1" s="1"/>
  <c r="V43" i="1" s="1"/>
  <c r="U18" i="1"/>
  <c r="X18" i="1" s="1"/>
  <c r="T18" i="1"/>
  <c r="W18" i="1" s="1"/>
  <c r="X43" i="1" l="1"/>
  <c r="W43" i="1"/>
  <c r="S15" i="1"/>
  <c r="V15" i="1" s="1"/>
  <c r="T15" i="1"/>
  <c r="W15" i="1" s="1"/>
  <c r="U15" i="1"/>
  <c r="X15" i="1" s="1"/>
  <c r="S22" i="1"/>
  <c r="V22" i="1" s="1"/>
  <c r="T22" i="1"/>
  <c r="W22" i="1" s="1"/>
  <c r="U12" i="1"/>
  <c r="T12" i="1"/>
  <c r="U21" i="1"/>
  <c r="X21" i="1" s="1"/>
  <c r="S21" i="1"/>
  <c r="V21" i="1" s="1"/>
  <c r="S23" i="1"/>
  <c r="V23" i="1" s="1"/>
  <c r="U23" i="1"/>
  <c r="X23" i="1" s="1"/>
  <c r="AC54" i="1" l="1"/>
  <c r="W12" i="1"/>
  <c r="X12" i="1"/>
  <c r="T13" i="1"/>
  <c r="W13" i="1" s="1"/>
  <c r="U13" i="1"/>
  <c r="X13" i="1" s="1"/>
  <c r="S13" i="1"/>
  <c r="V13" i="1" s="1"/>
  <c r="S12" i="1"/>
  <c r="V12" i="1" l="1"/>
  <c r="J16" i="1" l="1"/>
  <c r="J9" i="1" s="1"/>
  <c r="J49" i="1" s="1"/>
  <c r="T16" i="1" l="1"/>
  <c r="W16" i="1" s="1"/>
  <c r="W9" i="1" s="1"/>
  <c r="W49" i="1" s="1"/>
  <c r="S16" i="1"/>
  <c r="V16" i="1" s="1"/>
  <c r="V9" i="1" s="1"/>
  <c r="V49" i="1" s="1"/>
  <c r="U16" i="1"/>
  <c r="X16" i="1" s="1"/>
  <c r="X9" i="1" s="1"/>
  <c r="X49" i="1" s="1"/>
</calcChain>
</file>

<file path=xl/sharedStrings.xml><?xml version="1.0" encoding="utf-8"?>
<sst xmlns="http://schemas.openxmlformats.org/spreadsheetml/2006/main" count="1422" uniqueCount="542">
  <si>
    <t>ID</t>
  </si>
  <si>
    <t>Activity</t>
  </si>
  <si>
    <t>Indicator</t>
  </si>
  <si>
    <t>Units</t>
  </si>
  <si>
    <t>Cost</t>
  </si>
  <si>
    <t>Comments</t>
  </si>
  <si>
    <t>Geographical Distribution, ex. Mapai (22), Mabalane (16)</t>
  </si>
  <si>
    <t>Freq.</t>
  </si>
  <si>
    <t># of animals of local breeds allocated</t>
  </si>
  <si>
    <t># of animals of improved breeds allocated</t>
  </si>
  <si>
    <t># of learning groups established and trained</t>
  </si>
  <si>
    <t># of households assisted in livestock production practices</t>
  </si>
  <si>
    <t># of households assisted in crop production practices</t>
  </si>
  <si>
    <t># of households assessing inputs and/or technological packages</t>
  </si>
  <si>
    <t># of kits allocated and/or installed</t>
  </si>
  <si>
    <t># of agroprocessing kits allocated</t>
  </si>
  <si>
    <t># of mechanization kits allocated</t>
  </si>
  <si>
    <t># of seed producers trained</t>
  </si>
  <si>
    <t># of new and improved varieties released</t>
  </si>
  <si>
    <t># of technological packages, training materials and/or guidelines developed</t>
  </si>
  <si>
    <t># of local agriculture service providers trained</t>
  </si>
  <si>
    <t># of local agriculture service providers equiped</t>
  </si>
  <si>
    <t># of smallholder farmers benefiting from agricultural inputs and/or technological packages</t>
  </si>
  <si>
    <t># of smallholder farmers benefiting from livestock inputs and/or technological packages</t>
  </si>
  <si>
    <t># of crops demonstration, research or learning plots or units established</t>
  </si>
  <si>
    <t># of livestock demonstration, research or learning plots or units established</t>
  </si>
  <si>
    <t># of community vaccinators trainned and/or equiped</t>
  </si>
  <si>
    <t># of stems, seedlings, cuttings or plantlets produced</t>
  </si>
  <si>
    <t>kg of seed produced</t>
  </si>
  <si>
    <t># of packaging materials' samples reproduced</t>
  </si>
  <si>
    <t># of improved silos constructed or allocated</t>
  </si>
  <si>
    <t># of infrastructure and equipment management committees strengthened</t>
  </si>
  <si>
    <t># of nutrition promoters trained</t>
  </si>
  <si>
    <t># of packaging materials designed, reproduced and allocated</t>
  </si>
  <si>
    <t># of households trained in nutrition and agro-processing</t>
  </si>
  <si>
    <t># of marketing events/fairs promoted</t>
  </si>
  <si>
    <t># of marketing kits allocated</t>
  </si>
  <si>
    <t># of nutrition and/or sanitation kits allocated</t>
  </si>
  <si>
    <t># of national brands/products supported and/or introduced to the markets</t>
  </si>
  <si>
    <t># of FO and MSMEs supported</t>
  </si>
  <si>
    <t># of producers and value chain actors trained in agribusiness aspects</t>
  </si>
  <si>
    <t># of certified products promoted by PROCAVA</t>
  </si>
  <si>
    <t># of business proposals supported</t>
  </si>
  <si>
    <t># of 50 kg hermetic bags allocated</t>
  </si>
  <si>
    <t># of 500 hermetic silo bags allocated</t>
  </si>
  <si>
    <t>household farm income in USD per household</t>
  </si>
  <si>
    <t>hectares of farmland under irrigation</t>
  </si>
  <si>
    <t>hectares of farmland under irrigation with technical designs completed</t>
  </si>
  <si>
    <t>km of transmission lines installed</t>
  </si>
  <si>
    <t># of contracts closed</t>
  </si>
  <si>
    <t># of irrigation management personel capacitated</t>
  </si>
  <si>
    <t># of irrigation kits supplied and installed</t>
  </si>
  <si>
    <t># of multipurpose water infrastructure constructed, rehabilitated or improved</t>
  </si>
  <si>
    <t># of contracts secured</t>
  </si>
  <si>
    <t># of infraestructure management personel trained</t>
  </si>
  <si>
    <t># of infrastructure with tenders launched</t>
  </si>
  <si>
    <t># of infrastructure with technical studies and/or designs delivered</t>
  </si>
  <si>
    <t># of infrastructure constructed, rehabilitated and/or equiped</t>
  </si>
  <si>
    <t># of research infrastructure operational</t>
  </si>
  <si>
    <t># of livestock management infrastructure constructed, rehabilitated and/or improved</t>
  </si>
  <si>
    <t># of water related infrastructure with environmental compliance secured</t>
  </si>
  <si>
    <t># of rural infrastructure with environmental compliance secured</t>
  </si>
  <si>
    <t># of marketing infrastructure constructed, rehabilitated or equiped</t>
  </si>
  <si>
    <t># of storage infrastructure constructed, rehabilitated or equiped</t>
  </si>
  <si>
    <t># of crops processing infrastructure constructed, rehabilitated or equiped</t>
  </si>
  <si>
    <t># of livestock processing infrastructure constructed, rehabilitated or equiped</t>
  </si>
  <si>
    <t># of households targeted by land resources planning</t>
  </si>
  <si>
    <t>hectares of grazing land established</t>
  </si>
  <si>
    <t>hectares of farmland demarcated and registered into national cadastre</t>
  </si>
  <si>
    <t>gender strategy completed and approved</t>
  </si>
  <si>
    <t># of community grazing areas delimitated and with land certificate issued</t>
  </si>
  <si>
    <t># of DUATs registered in the National Cadastre</t>
  </si>
  <si>
    <t># of knowledge management events, meetings or workshops organized</t>
  </si>
  <si>
    <t># of policy relevant knowledge products completed</t>
  </si>
  <si>
    <t># of action plans prepared, approved and implemented</t>
  </si>
  <si>
    <t># of rain gauges procured and installed</t>
  </si>
  <si>
    <t># of agrometeorological system established and operational</t>
  </si>
  <si>
    <t># of months covered (operating expenses)</t>
  </si>
  <si>
    <t># of motorbyke × months covered</t>
  </si>
  <si>
    <t># of vehicle × months covered</t>
  </si>
  <si>
    <t>mid-term evaluation conducted</t>
  </si>
  <si>
    <t>baseline study conducted</t>
  </si>
  <si>
    <t>minutes of radiotransmission</t>
  </si>
  <si>
    <t># of inter-institutional agreements signed</t>
  </si>
  <si>
    <t># of value chains actors reached by MIS</t>
  </si>
  <si>
    <t># of public and private entity staff trained</t>
  </si>
  <si>
    <t># of public and private entity staff equiped</t>
  </si>
  <si>
    <t># of agricultural training centres constructed, rehabilitated and/or improved</t>
  </si>
  <si>
    <t># of service-days delivered</t>
  </si>
  <si>
    <t># of districts targeted</t>
  </si>
  <si>
    <t># of community radios contracted</t>
  </si>
  <si>
    <t># of employments created by PROCAVA related interventions</t>
  </si>
  <si>
    <t>months of internships hosted</t>
  </si>
  <si>
    <t># of annual impact evaluation studies conducted</t>
  </si>
  <si>
    <t># of studies, surveys and/or reports delivered</t>
  </si>
  <si>
    <t># of men × days employed</t>
  </si>
  <si>
    <t># of men × months employed</t>
  </si>
  <si>
    <t># of administrative infrastructure constructed, rehabilitated, constructed and/or equiped</t>
  </si>
  <si>
    <t># of localities targeted by PROCAVA</t>
  </si>
  <si>
    <t># of knowledge transfer tools developed</t>
  </si>
  <si>
    <t># of missions, monitoring and/or data validation visits carried out</t>
  </si>
  <si>
    <t># of motorbykes procured and allocated</t>
  </si>
  <si>
    <t># of pages reviewed and/or translated</t>
  </si>
  <si>
    <t># of air tickets issued</t>
  </si>
  <si>
    <t># of rural producers receiving project services (recorded and coded)</t>
  </si>
  <si>
    <t># of reports prepared and approved</t>
  </si>
  <si>
    <t># of electronic data collection and retrieval devices allocated</t>
  </si>
  <si>
    <t># of employees targeted</t>
  </si>
  <si>
    <t># of programme management units established and/or operational</t>
  </si>
  <si>
    <t># of PMUs established and operational</t>
  </si>
  <si>
    <t># of vehicles procured and allocated</t>
  </si>
  <si>
    <t># of multi-stakeholder platforms established and operational</t>
  </si>
  <si>
    <t># of financial management sistems - FMS, established and operational</t>
  </si>
  <si>
    <t># of management information sistems - MIS, established and operational</t>
  </si>
  <si>
    <t># of units</t>
  </si>
  <si>
    <t>indicator_en</t>
  </si>
  <si>
    <t>indicator_units</t>
  </si>
  <si>
    <t># of trees planted</t>
  </si>
  <si>
    <t>trees</t>
  </si>
  <si>
    <t>kits</t>
  </si>
  <si>
    <t>animals</t>
  </si>
  <si>
    <t>groups</t>
  </si>
  <si>
    <t>households</t>
  </si>
  <si>
    <t>seed producers</t>
  </si>
  <si>
    <t>varieties</t>
  </si>
  <si>
    <t>packages</t>
  </si>
  <si>
    <t>service providers</t>
  </si>
  <si>
    <t>producers</t>
  </si>
  <si>
    <t>units</t>
  </si>
  <si>
    <t>vaccinators</t>
  </si>
  <si>
    <t>kg</t>
  </si>
  <si>
    <t>silos</t>
  </si>
  <si>
    <t>comités</t>
  </si>
  <si>
    <t>promoters</t>
  </si>
  <si>
    <t>events</t>
  </si>
  <si>
    <t>proposals</t>
  </si>
  <si>
    <t>nutrition/sanitation kits</t>
  </si>
  <si>
    <t>brands</t>
  </si>
  <si>
    <t>entities</t>
  </si>
  <si>
    <t>producers and/or actors</t>
  </si>
  <si>
    <t>products</t>
  </si>
  <si>
    <t>bags</t>
  </si>
  <si>
    <t>USD</t>
  </si>
  <si>
    <t>hectares</t>
  </si>
  <si>
    <t>km</t>
  </si>
  <si>
    <t>contracts</t>
  </si>
  <si>
    <t>people</t>
  </si>
  <si>
    <t>infrastructures</t>
  </si>
  <si>
    <t>infrastructure</t>
  </si>
  <si>
    <t>strategies</t>
  </si>
  <si>
    <t>delimitations</t>
  </si>
  <si>
    <t>DUATs</t>
  </si>
  <si>
    <t>policy tools</t>
  </si>
  <si>
    <t>plans</t>
  </si>
  <si>
    <t>gauges</t>
  </si>
  <si>
    <t>system</t>
  </si>
  <si>
    <t>months</t>
  </si>
  <si>
    <t>motorbyke × months</t>
  </si>
  <si>
    <t>vehicle × months</t>
  </si>
  <si>
    <t>studies</t>
  </si>
  <si>
    <t>minutes</t>
  </si>
  <si>
    <t>aggreements</t>
  </si>
  <si>
    <t>actors</t>
  </si>
  <si>
    <t>technicians</t>
  </si>
  <si>
    <t>centres</t>
  </si>
  <si>
    <t>days</t>
  </si>
  <si>
    <t>districts</t>
  </si>
  <si>
    <t>radios</t>
  </si>
  <si>
    <t>employments</t>
  </si>
  <si>
    <t>interns</t>
  </si>
  <si>
    <t>men × days</t>
  </si>
  <si>
    <t>men × months</t>
  </si>
  <si>
    <t>localities</t>
  </si>
  <si>
    <t>tools</t>
  </si>
  <si>
    <t>missions or visits</t>
  </si>
  <si>
    <t>motorbykes</t>
  </si>
  <si>
    <t>pages</t>
  </si>
  <si>
    <t>tickets</t>
  </si>
  <si>
    <t>reports</t>
  </si>
  <si>
    <t>devices</t>
  </si>
  <si>
    <t>PMUs</t>
  </si>
  <si>
    <t>vehicles</t>
  </si>
  <si>
    <t>platforms</t>
  </si>
  <si>
    <t>systems</t>
  </si>
  <si>
    <t># of local livestock service providers (AHAs) trained</t>
  </si>
  <si>
    <t># of local livestock service providers (AHAs) equiped</t>
  </si>
  <si>
    <t># of smallholder farmers trained on sustainable production practices</t>
  </si>
  <si>
    <t>Quantity</t>
  </si>
  <si>
    <t>Produce research level planting materials</t>
  </si>
  <si>
    <t>Component</t>
  </si>
  <si>
    <t>Category</t>
  </si>
  <si>
    <t>Government (%)</t>
  </si>
  <si>
    <t>CRI (%)</t>
  </si>
  <si>
    <t>Beneficiaries (%)</t>
  </si>
  <si>
    <t>Outreach</t>
  </si>
  <si>
    <t>Potato producers</t>
  </si>
  <si>
    <t>Cassava producers</t>
  </si>
  <si>
    <t>TOTAL</t>
  </si>
  <si>
    <t>Moamba</t>
  </si>
  <si>
    <t>Matutuíne</t>
  </si>
  <si>
    <t>Boane</t>
  </si>
  <si>
    <t>Namaacha</t>
  </si>
  <si>
    <t>Massinga</t>
  </si>
  <si>
    <t>Vilankulo</t>
  </si>
  <si>
    <t>Chókwè</t>
  </si>
  <si>
    <t>Guijá</t>
  </si>
  <si>
    <t>Chibuto</t>
  </si>
  <si>
    <t>Sanga</t>
  </si>
  <si>
    <t>Muembe</t>
  </si>
  <si>
    <t>Ngauma</t>
  </si>
  <si>
    <t>Chimbunila</t>
  </si>
  <si>
    <t>Bilene</t>
  </si>
  <si>
    <t>Mapai</t>
  </si>
  <si>
    <t>Mandlakazi</t>
  </si>
  <si>
    <t>Mabalane</t>
  </si>
  <si>
    <t>Govuro</t>
  </si>
  <si>
    <t>Mabote</t>
  </si>
  <si>
    <t>Funhalouro</t>
  </si>
  <si>
    <t>Zavala</t>
  </si>
  <si>
    <t>Jangamo</t>
  </si>
  <si>
    <t>Cuamba</t>
  </si>
  <si>
    <t>Mecanhelas</t>
  </si>
  <si>
    <t>Inharrime</t>
  </si>
  <si>
    <t>Morrumbene</t>
  </si>
  <si>
    <t>Homoíne</t>
  </si>
  <si>
    <t>Chicken</t>
  </si>
  <si>
    <t>Irish Potato</t>
  </si>
  <si>
    <t>Cassava</t>
  </si>
  <si>
    <t>Onion</t>
  </si>
  <si>
    <t>Sweet potato</t>
  </si>
  <si>
    <t>Commodity</t>
  </si>
  <si>
    <t>District</t>
  </si>
  <si>
    <t>Beneficiaries</t>
  </si>
  <si>
    <t>PROCAVA</t>
  </si>
  <si>
    <t>Row Labels</t>
  </si>
  <si>
    <t>Grand Total</t>
  </si>
  <si>
    <t>Count of District</t>
  </si>
  <si>
    <t>Support seed production with emergent farmers and local enterpreneurs</t>
  </si>
  <si>
    <t>Subcomponent 4 - Project Management and Oversight</t>
  </si>
  <si>
    <t>Procure and allocate trial input support packages</t>
  </si>
  <si>
    <t>Priority</t>
  </si>
  <si>
    <t>High</t>
  </si>
  <si>
    <t>A</t>
  </si>
  <si>
    <t>D</t>
  </si>
  <si>
    <t>B</t>
  </si>
  <si>
    <t>C</t>
  </si>
  <si>
    <t>Unit Price (MZN)</t>
  </si>
  <si>
    <t>Subcomponent 1 - Access to affordable and basic assets</t>
  </si>
  <si>
    <t>Subcomponent 2 - Small Scale Infrastructure and Equipment</t>
  </si>
  <si>
    <t>Subcomponent 3 - Access to short-term finance</t>
  </si>
  <si>
    <t>Beans producers</t>
  </si>
  <si>
    <t>Support to FO and MSMEs on business proposal writting and fundraising</t>
  </si>
  <si>
    <t>Consultancies, Trainings and Services</t>
  </si>
  <si>
    <t>CRI (MZN)</t>
  </si>
  <si>
    <t>Government (MZN)</t>
  </si>
  <si>
    <t>Beneficiaries (MZN)</t>
  </si>
  <si>
    <t>Sum of Cost</t>
  </si>
  <si>
    <t>Subcomponents</t>
  </si>
  <si>
    <t>Sum of CRI (MZN)</t>
  </si>
  <si>
    <t>Sum of Government (MZN)</t>
  </si>
  <si>
    <t>Sum of Beneficiaries (MZN)</t>
  </si>
  <si>
    <t>Componentes</t>
  </si>
  <si>
    <t xml:space="preserve">Acções </t>
  </si>
  <si>
    <t>Meta</t>
  </si>
  <si>
    <t>Indicador</t>
  </si>
  <si>
    <t>Estimativa de beneficiários directos</t>
  </si>
  <si>
    <t>Informações adicionais</t>
  </si>
  <si>
    <t>Tipo de despesa</t>
  </si>
  <si>
    <t>Custo 
Unitário (MT)</t>
  </si>
  <si>
    <t>Custo Total 
(MT)</t>
  </si>
  <si>
    <t>Custo Total 
(US$)</t>
  </si>
  <si>
    <t>Total</t>
  </si>
  <si>
    <t>Homens</t>
  </si>
  <si>
    <t>Mulheres</t>
  </si>
  <si>
    <t>Implantação de unidades de gaiolas flutuantes</t>
  </si>
  <si>
    <t>No de gaiolas implantadas</t>
  </si>
  <si>
    <t xml:space="preserve">25 gaiolas flutuantes em Niassa produção esperada de 43 toneladas por ciclo </t>
  </si>
  <si>
    <t>Servicos</t>
  </si>
  <si>
    <t xml:space="preserve">Expansao/Conclusao de Unidade de Producao de Racao em Lichinga </t>
  </si>
  <si>
    <t>Nr de unidade expandida/concluida</t>
  </si>
  <si>
    <t>Reabilitacao e Expansao tanques aquicolas resilientes as mudanças climáticas em Milange e Ribuae</t>
  </si>
  <si>
    <t>No de tanques implantados/reabilitados</t>
  </si>
  <si>
    <t>80 tanques -   produção esperada de 84 toneladas por ciclo</t>
  </si>
  <si>
    <t>Servicos &amp; Bens</t>
  </si>
  <si>
    <t>Fornecimento de  insumos aquicolas - Alevinos</t>
  </si>
  <si>
    <t>No de alevinos adquiridos</t>
  </si>
  <si>
    <t>450.000 alevinos (300.000 para gaiolas e 90.000 para tanques)</t>
  </si>
  <si>
    <t>Bens</t>
  </si>
  <si>
    <t>Fornecimento de  insumos aquicolas - Ração</t>
  </si>
  <si>
    <t>Kilogramas de ração adquirida</t>
  </si>
  <si>
    <t xml:space="preserve">192.000 kg de racao </t>
  </si>
  <si>
    <t>Aquisicao de maquinetas de producao de racao para Zambezia e Nampula</t>
  </si>
  <si>
    <t>No de maquinetas adquiridas</t>
  </si>
  <si>
    <t>Maquinetas para moer, misturar ingreidentes e peletizar</t>
  </si>
  <si>
    <t>Treinamento de extensionistas em técnicas de cultivo de peixe em tanques e gaiolas em Niassa, Zambezia e Nampula</t>
  </si>
  <si>
    <t>No de sessoes realizadas</t>
  </si>
  <si>
    <t>Custos Operacionais</t>
  </si>
  <si>
    <t>Treinamento de aquacultores em técnicas de cultivo de peixe  em tanques e gaiolasm Niassa, Zambezia e Nampula</t>
  </si>
  <si>
    <t xml:space="preserve">Treinamento dos aquacultores em matérias de (i) abertura de tanques (ii) construção de gaiolas (iii) gestão do cultivo (iv) produção de dietas melhoradas (v) técnicas de colheita (VI) boas praticas (VII) dissiminacao de tecnicas melhoradas </t>
  </si>
  <si>
    <t>Treinamento de intervenientes na cadeia de valor de aquacultura em tecnologia de pescado</t>
  </si>
  <si>
    <t xml:space="preserve">Capacitação em boas práticas de manuseamento,  conservação, tecnologias melhoradas de processamento e agregacao de valor ao pescado </t>
  </si>
  <si>
    <t>Custos operacionais</t>
  </si>
  <si>
    <t>Treinamento de intervenientes em gestão de negócios e acesso a mercados na cadeia de valor de aquacultura</t>
  </si>
  <si>
    <t>Capacitação de aquacultores e comerciantes em materias de gestao de negocios, acesso aos mercados  e iniciativas de geracao de rendimentos na cadeia de valor da aquacultura</t>
  </si>
  <si>
    <t>Treinamento vocacional de jovens para o empreendedorismo nas actividades de apoio a cadeia de valor de aquacultura (refrigeracao, electricidade, sistema solar, serralharia, construcao civil, carpintaria, mecanica)</t>
  </si>
  <si>
    <t>No de jovens treinados</t>
  </si>
  <si>
    <t>treinamento em refrigeracao, electricidade, mecanica, serralharia, carpintaria</t>
  </si>
  <si>
    <t>Aquisicao e fornecimento de kits de empreendedorismo para os jovens</t>
  </si>
  <si>
    <t>No de kits adquiridos</t>
  </si>
  <si>
    <t>Kits de material de refrigeracao, electricidade, mecanica, serralharia, carpintaria</t>
  </si>
  <si>
    <t>Bens &amp; Servicos</t>
  </si>
  <si>
    <t>Assistência técnica aos aquacultores</t>
  </si>
  <si>
    <t>No de missoes realizadas</t>
  </si>
  <si>
    <t>Os aquacultores serão assistidos em maneio geral do cultivo e boas praticas</t>
  </si>
  <si>
    <t>Missoes de monitoria das actividades de promocao da aquacultores  e de grupos de aquacultores</t>
  </si>
  <si>
    <t>Aquicisao de kits  de manuseamento e conseravacao do pescado [caixas isotermicas, balanca, facas e tabuas de evisceracao]</t>
  </si>
  <si>
    <t xml:space="preserve">Organização de piscicultores em grupos </t>
  </si>
  <si>
    <t>No de grupos organizados</t>
  </si>
  <si>
    <t>Custos Operacionais &amp; Servicos</t>
  </si>
  <si>
    <t>Componente 2 - Acesso a informação do mercado</t>
  </si>
  <si>
    <t>Aquisição dispositivos elecrtonicos para operacionalização do sistema de recolha de preços</t>
  </si>
  <si>
    <t>No de dispositivos electronicos adquiridos</t>
  </si>
  <si>
    <t>Recolha de informação estatística de base nos locais de produção, de venda de pescado</t>
  </si>
  <si>
    <t>Instalação do sistema de recolha de informação de sobre mercados de pesca e aquacultura</t>
  </si>
  <si>
    <t>No de sistemas instalados</t>
  </si>
  <si>
    <t>Instalados sistemas de recolha de dados nas Delegações provinciais do IDEPA</t>
  </si>
  <si>
    <t>Recolha e divulgação de preços de insumos e pescado</t>
  </si>
  <si>
    <t>No de divulgações na rádio</t>
  </si>
  <si>
    <t>As informações serão divulgadas em todos os distritos do PRODAPE, sendo uma por mês</t>
  </si>
  <si>
    <t>Realizacao de feiras locais de pescado em Niassa, Nampula e Zambezia</t>
  </si>
  <si>
    <t>No de feiras realizadas</t>
  </si>
  <si>
    <t>Promocao de produtos, insumos e servicos da aquacultura</t>
  </si>
  <si>
    <t>Componente 3 - Acesso ao financiamento</t>
  </si>
  <si>
    <t>Financiar a aquisicao de equipamento de frio, material de manuseamento e conservacao de pescado [ fabriqueta de gelo, congeladores, caixas isotermicas ]</t>
  </si>
  <si>
    <t>Nr de individuos financiados</t>
  </si>
  <si>
    <t>Fabriqueta de producao de gelo, camara de conservacao de pescado, arcas frigorificas, caixas isotérmicas</t>
  </si>
  <si>
    <t>Financiar a aquisicao de insumos  de producao</t>
  </si>
  <si>
    <t>Gaiolas, tanques, ração, alevinos, maquinetas de racao e outros equipamentos</t>
  </si>
  <si>
    <t>Financiamento a iniciativa de negócios na cadeia de valor da aquacultura.</t>
  </si>
  <si>
    <t>Projecto de negocios, incluindo iniciativas de empereendedorismo para jovens</t>
  </si>
  <si>
    <t>Finnciamento de expansao de unidades de producao de racao de nivel comercial</t>
  </si>
  <si>
    <t>Nr de unidades de racao financiadas</t>
  </si>
  <si>
    <t>Financiamento de expansao unidades de producao de alevinos</t>
  </si>
  <si>
    <t>Nr de unidades de  alevenios fianciados</t>
  </si>
  <si>
    <t>Financiamento de expansao de unidades de producao de gaiolas</t>
  </si>
  <si>
    <t>Nr de gaiolas financiados</t>
  </si>
  <si>
    <t>Financiamento de expansao de unidades de producao de tanques</t>
  </si>
  <si>
    <t>Nr de tanques financiados</t>
  </si>
  <si>
    <t>Total [valor do REFP e Custo total para Aquacultura]</t>
  </si>
  <si>
    <t>Valor a ser financiado pelo REEFP</t>
  </si>
  <si>
    <t xml:space="preserve">Custo Total do Projecto Para Aquacultura </t>
  </si>
  <si>
    <t xml:space="preserve">Component 1 </t>
  </si>
  <si>
    <t>Subcomponent 1 - Access to affordable inputs and basic assets</t>
  </si>
  <si>
    <t>E</t>
  </si>
  <si>
    <t>Subcomponent 2 - Access to short-term finance</t>
  </si>
  <si>
    <t>Subcomponent 3 - Access to Market Information</t>
  </si>
  <si>
    <t>Small Scale Productive Equipment</t>
  </si>
  <si>
    <t>Active borrowers (individuals)</t>
  </si>
  <si>
    <t># of entities financed</t>
  </si>
  <si>
    <t># of public and private entities staff trained</t>
  </si>
  <si>
    <t># of people trained in business and entrepreneurship</t>
  </si>
  <si>
    <t># of people trained in fish production and technologies</t>
  </si>
  <si>
    <t>Processing facilities constructed/rehabilitated</t>
  </si>
  <si>
    <t># of management information systems operational</t>
  </si>
  <si>
    <t>People (youth) receiving vocational training</t>
  </si>
  <si>
    <t>People receiving enterpreneurship kits</t>
  </si>
  <si>
    <t>Fishponds constructed/rehabilitated</t>
  </si>
  <si>
    <t>Production groups formed/ strengthened</t>
  </si>
  <si>
    <t>REFP (%)</t>
  </si>
  <si>
    <t>PROCAVA (%)</t>
  </si>
  <si>
    <t>PRODAPE (%)</t>
  </si>
  <si>
    <t>Equipment and Materials</t>
  </si>
  <si>
    <t>Establish a line of credit for operating costs (inputs for outgrower schemes and FO)</t>
  </si>
  <si>
    <t>Establish a line of credit for small-scale investments (farm mechanization, value-addition, transportation &amp; marketing)</t>
  </si>
  <si>
    <t>Implantação de unidades de gaiolas flutuantes em Niassa e Nampula</t>
  </si>
  <si>
    <t xml:space="preserve">20 gaiolas flutuantes em Niassa produção esperada de 43 toneladas por ciclo </t>
  </si>
  <si>
    <t>Fornecimento de  insumos aquicolas - Alevinos para Zambezia, Niassa e Nampula</t>
  </si>
  <si>
    <t>300.000 alevinos (100 para gaiolas e 200 para tanques)</t>
  </si>
  <si>
    <t>Fornecimento de  insumos aquicolas - Ração para Zambezia, Niassa e Nampula</t>
  </si>
  <si>
    <t xml:space="preserve">100.000 kg de racao </t>
  </si>
  <si>
    <t>Old indicator</t>
  </si>
  <si>
    <t>Installation of floating fish cages in Nampula</t>
  </si>
  <si>
    <t>Rehabilitation and expansion of climate resilient fish ponds in Milange and Ribáue</t>
  </si>
  <si>
    <t>Supply of acquaculture inputs in Zambézia, Niassa and Nampula</t>
  </si>
  <si>
    <t>Allocate fish handling and conservation kits (isothermal crates, scales, nives and others)</t>
  </si>
  <si>
    <t>Train fish farmers on fish production</t>
  </si>
  <si>
    <t>Train extension officers on fish production</t>
  </si>
  <si>
    <t>Alocate feed processing kits to smallholder fish farmers</t>
  </si>
  <si>
    <t>Business proposals financed</t>
  </si>
  <si>
    <t>Finalize feed processing facility in Lichinga</t>
  </si>
  <si>
    <t>Small scale acquaculture facilities, equipment and inputs</t>
  </si>
  <si>
    <t># of floating cages installed</t>
  </si>
  <si>
    <t>Co-finance fish farming inputs, post-harvest handling, feed processing facilities and equipment and others</t>
  </si>
  <si>
    <t>REFP (US$)</t>
  </si>
  <si>
    <t>PROCAVA  (US$)</t>
  </si>
  <si>
    <t>PRODAPE  (US$)</t>
  </si>
  <si>
    <t>comps</t>
  </si>
  <si>
    <t>Access to affordable inputs and basic assets</t>
  </si>
  <si>
    <t>Access to short-term finance</t>
  </si>
  <si>
    <t>Produce Foundation Irish potato mini-tubers in collaboration with IIAM</t>
  </si>
  <si>
    <t>Produce Foundation Beans in collaboration with IIAM</t>
  </si>
  <si>
    <t>Produce Certified (C1) Irish potato mini-tubers with emergent farmers &amp; local enterpreneurs</t>
  </si>
  <si>
    <t>Produce Certified (C1) Beans with emergent farmers &amp; local enterpreneurs</t>
  </si>
  <si>
    <t>Cassava input support packages (stems, agrochemicals)</t>
  </si>
  <si>
    <t>Promote low-cost &amp; energy saving small-scale irrigation systems (solar powered drip kits)</t>
  </si>
  <si>
    <t>Beans input support packages (seeds, agrochemicals)</t>
  </si>
  <si>
    <t>Irish potato input support packages (seeds, agrochemicals)</t>
  </si>
  <si>
    <t>Column1</t>
  </si>
  <si>
    <t>Jan</t>
  </si>
  <si>
    <t>Feb</t>
  </si>
  <si>
    <t>Mar</t>
  </si>
  <si>
    <t>Apr</t>
  </si>
  <si>
    <t>May</t>
  </si>
  <si>
    <t>Jun</t>
  </si>
  <si>
    <t>Jul</t>
  </si>
  <si>
    <t>Ago</t>
  </si>
  <si>
    <t>Sep</t>
  </si>
  <si>
    <t>Oct</t>
  </si>
  <si>
    <t>Nov</t>
  </si>
  <si>
    <t>Dec</t>
  </si>
  <si>
    <t xml:space="preserve"> Jan</t>
  </si>
  <si>
    <t xml:space="preserve"> Feb</t>
  </si>
  <si>
    <t xml:space="preserve"> Mar</t>
  </si>
  <si>
    <t xml:space="preserve"> Apr</t>
  </si>
  <si>
    <t xml:space="preserve"> May</t>
  </si>
  <si>
    <t xml:space="preserve"> Jun</t>
  </si>
  <si>
    <t xml:space="preserve"> Jul</t>
  </si>
  <si>
    <t xml:space="preserve"> Ago</t>
  </si>
  <si>
    <t xml:space="preserve"> Sep</t>
  </si>
  <si>
    <t xml:space="preserve"> Oct</t>
  </si>
  <si>
    <t xml:space="preserve"> Nov</t>
  </si>
  <si>
    <t xml:space="preserve"> Dec</t>
  </si>
  <si>
    <t>FY 2022</t>
  </si>
  <si>
    <t>FY 2023</t>
  </si>
  <si>
    <t>Establish Certified (C1) Cassava stems with emergent farmers &amp; local enterpreneurs</t>
  </si>
  <si>
    <t>Establish trials on inclusion of cassava flour on backing industry</t>
  </si>
  <si>
    <t>Establish Cassava stems multiplication plots in collaboration with IIAM (new varieties with high starch content)</t>
  </si>
  <si>
    <t>Establish and pilot a market information system for value chain stakeholders</t>
  </si>
  <si>
    <t>Establish pilots on use of renewable energy for value-addition facilities (solar powered processing kits)</t>
  </si>
  <si>
    <t>Funds</t>
  </si>
  <si>
    <t>Operating Costs</t>
  </si>
  <si>
    <t>CRI Financing (US$)</t>
  </si>
  <si>
    <t>TOTAL PROJECT COST (US$)</t>
  </si>
  <si>
    <t>GoM (US$)</t>
  </si>
  <si>
    <t>Beneficiaries (US$)</t>
  </si>
  <si>
    <t>SUBCOMPONENT 1 - ACCESS TO AFFORDABLE INPUTS AND BASIC ASSETS</t>
  </si>
  <si>
    <t>facilities</t>
  </si>
  <si>
    <t>ponds</t>
  </si>
  <si>
    <t>staff</t>
  </si>
  <si>
    <t># of producers trained on sustainable production practices</t>
  </si>
  <si>
    <t>SUBCOMPONENT  2 - ACCESS TO SHORT-TERM FINANCE</t>
  </si>
  <si>
    <t>#</t>
  </si>
  <si>
    <t>Detailed Activity Description</t>
  </si>
  <si>
    <t>F</t>
  </si>
  <si>
    <t>Promote value addition investments</t>
  </si>
  <si>
    <t>Sum of CRI Financing (US$)</t>
  </si>
  <si>
    <t>Sum of GoM (US$)</t>
  </si>
  <si>
    <t>Sum of Beneficiaries (US$)</t>
  </si>
  <si>
    <t>TOTAL COST (US$)</t>
  </si>
  <si>
    <t>Table 1 - Programme Budget by Component and Financier (US$)</t>
  </si>
  <si>
    <t>IFAD CRI Financing (US$)</t>
  </si>
  <si>
    <t>GoM in-kind (US$)</t>
  </si>
  <si>
    <t>Beneficiaries in-kind (US$)</t>
  </si>
  <si>
    <t>Table 2 - Programme Budget by Category and Financier (US$) – External Resources</t>
  </si>
  <si>
    <t>Table 3 - Programme Budget by Implementing Agency (Project / Programme) and Financing Category (US$) – External Resources</t>
  </si>
  <si>
    <t>Managed by REFP (US$)</t>
  </si>
  <si>
    <t>Managed by PROCAVA(US$)</t>
  </si>
  <si>
    <t>Managed by PRODAPE(US$)</t>
  </si>
  <si>
    <t xml:space="preserve"> - </t>
  </si>
  <si>
    <t xml:space="preserve">- </t>
  </si>
  <si>
    <t xml:space="preserve"> CRI Financing (US$)</t>
  </si>
  <si>
    <t xml:space="preserve"> GoM (US$)</t>
  </si>
  <si>
    <t xml:space="preserve"> Beneficiaries (US$)</t>
  </si>
  <si>
    <t xml:space="preserve"> TOTAL PROJECT COST (US$)</t>
  </si>
  <si>
    <t xml:space="preserve"> REFP (US$)</t>
  </si>
  <si>
    <t xml:space="preserve">  PROCAVA  (US$)</t>
  </si>
  <si>
    <t xml:space="preserve">  PRODAPE  (US$)</t>
  </si>
  <si>
    <t xml:space="preserve">  GoM (US$)</t>
  </si>
  <si>
    <t xml:space="preserve"> PROCAVA  (US$)</t>
  </si>
  <si>
    <t xml:space="preserve"> PRODAPE  (US$)</t>
  </si>
  <si>
    <t>lumpsum</t>
  </si>
  <si>
    <t>cri_grant1</t>
  </si>
  <si>
    <t>gov2020</t>
  </si>
  <si>
    <t>benef2020</t>
  </si>
  <si>
    <t>fa_categories</t>
  </si>
  <si>
    <t>refp_managed</t>
  </si>
  <si>
    <t>procava_managed</t>
  </si>
  <si>
    <t>prodape_managed</t>
  </si>
  <si>
    <t>expenditure</t>
  </si>
  <si>
    <t>indicators</t>
  </si>
  <si>
    <t>ceiling</t>
  </si>
  <si>
    <t>subcomponentname_pt</t>
  </si>
  <si>
    <t>description</t>
  </si>
  <si>
    <t>indicator_unit</t>
  </si>
  <si>
    <t>meta</t>
  </si>
  <si>
    <t>cri_usd</t>
  </si>
  <si>
    <t>gdm_usd</t>
  </si>
  <si>
    <t>benef_usd</t>
  </si>
  <si>
    <t>ceiling2</t>
  </si>
  <si>
    <t>3.1 - Technical Assistance</t>
  </si>
  <si>
    <t>1.1 - Equipment and Materials</t>
  </si>
  <si>
    <t>3.5 - Trainings</t>
  </si>
  <si>
    <t>4.1 - Funds</t>
  </si>
  <si>
    <t>pdr_category</t>
  </si>
  <si>
    <t>tompro_key</t>
  </si>
  <si>
    <t>450101</t>
  </si>
  <si>
    <t>450102</t>
  </si>
  <si>
    <t>450103</t>
  </si>
  <si>
    <t>450201</t>
  </si>
  <si>
    <t>450202</t>
  </si>
  <si>
    <t>450203</t>
  </si>
  <si>
    <t>450301</t>
  </si>
  <si>
    <t>450302</t>
  </si>
  <si>
    <t>450303</t>
  </si>
  <si>
    <t>450401</t>
  </si>
  <si>
    <t>450402</t>
  </si>
  <si>
    <t>450403</t>
  </si>
  <si>
    <t>450404</t>
  </si>
  <si>
    <t>450501</t>
  </si>
  <si>
    <t>450502</t>
  </si>
  <si>
    <t>450503</t>
  </si>
  <si>
    <t>450601</t>
  </si>
  <si>
    <t>450602</t>
  </si>
  <si>
    <t>450701</t>
  </si>
  <si>
    <t>450702</t>
  </si>
  <si>
    <t>450801</t>
  </si>
  <si>
    <t>460901</t>
  </si>
  <si>
    <t>460902</t>
  </si>
  <si>
    <t>461001</t>
  </si>
  <si>
    <t>460903</t>
  </si>
  <si>
    <t>Outreach Interventions</t>
  </si>
  <si>
    <t>REFP</t>
  </si>
  <si>
    <t>PRODAPE</t>
  </si>
  <si>
    <t>Irrigation kits</t>
  </si>
  <si>
    <t>Market information</t>
  </si>
  <si>
    <t>Acquaculture inputs</t>
  </si>
  <si>
    <t>Credit Line</t>
  </si>
  <si>
    <t>Access to processing facilities</t>
  </si>
  <si>
    <t>Access to value addition facilities (Agroprocessing facilities)</t>
  </si>
  <si>
    <t>Irish potato inputs produced by emergent farmers</t>
  </si>
  <si>
    <t>Beans inputs produced by  emergent farmers</t>
  </si>
  <si>
    <t>Cassava inputs produced by  emergent farmers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</si>
</sst>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_-* #,##0_-;\-* #,##0_-;_-* &quot;-&quot;??_-;_-@_-"/>
    <numFmt numFmtId="166" formatCode="0.000%"/>
    <numFmt numFmtId="167" formatCode="_-* #,##0.0000000_-;\-* #,##0.0000000_-;_-* &quot;-&quot;??_-;_-@_-"/>
    <numFmt numFmtId="168" formatCode="#,##0.0000"/>
  </numFmts>
  <fonts count="14" x14ac:knownFonts="1">
    <font>
      <sz val="11"/>
      <color theme="1"/>
      <name val="Calibri"/>
      <family val="2"/>
      <scheme val="minor"/>
    </font>
    <font>
      <sz val="11"/>
      <color theme="1"/>
      <name val="Calibri"/>
      <family val="2"/>
      <scheme val="minor"/>
    </font>
    <font>
      <sz val="11"/>
      <color theme="1"/>
      <name val="Arial Narrow"/>
      <family val="2"/>
    </font>
    <font>
      <b/>
      <sz val="11"/>
      <color theme="1"/>
      <name val="Arial Narrow"/>
      <family val="2"/>
    </font>
    <font>
      <sz val="11"/>
      <color theme="1"/>
      <name val="Arial"/>
      <family val="2"/>
    </font>
    <font>
      <b/>
      <sz val="11"/>
      <color theme="1"/>
      <name val="Arial"/>
      <family val="2"/>
    </font>
    <font>
      <sz val="11"/>
      <name val="Arial Narrow"/>
      <family val="2"/>
    </font>
    <font>
      <b/>
      <sz val="11"/>
      <name val="Arial Narrow"/>
      <family val="2"/>
    </font>
    <font>
      <sz val="8"/>
      <name val="Calibri"/>
      <family val="2"/>
      <scheme val="minor"/>
    </font>
    <font>
      <b/>
      <sz val="11"/>
      <color theme="0"/>
      <name val="Arial Narrow"/>
      <family val="2"/>
    </font>
    <font>
      <b/>
      <sz val="10"/>
      <name val="Arial Narrow"/>
      <family val="2"/>
    </font>
    <font>
      <sz val="10"/>
      <name val="Arial Narrow"/>
      <family val="2"/>
    </font>
    <font>
      <b/>
      <sz val="11"/>
      <name val="Arial"/>
      <family val="2"/>
    </font>
    <font>
      <sz val="11"/>
      <name val="Calibri"/>
      <family val="2"/>
      <scheme val="minor"/>
    </font>
  </fonts>
  <fills count="12">
    <fill>
      <patternFill patternType="none"/>
    </fill>
    <fill>
      <patternFill patternType="gray125"/>
    </fill>
    <fill>
      <patternFill patternType="solid">
        <fgColor rgb="FFFFC0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rgb="FF92D050"/>
        <bgColor indexed="64"/>
      </patternFill>
    </fill>
    <fill>
      <patternFill patternType="solid">
        <fgColor rgb="FFFFFF00"/>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00B050"/>
        <bgColor indexed="64"/>
      </patternFill>
    </fill>
    <fill>
      <patternFill patternType="solid">
        <fgColor theme="5"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bottom style="thin">
        <color indexed="64"/>
      </bottom>
      <diagonal/>
    </border>
    <border>
      <left/>
      <right/>
      <top style="medium">
        <color rgb="FF8EA9DB"/>
      </top>
      <bottom style="medium">
        <color indexed="64"/>
      </bottom>
      <diagonal/>
    </border>
    <border>
      <left/>
      <right/>
      <top style="medium">
        <color indexed="64"/>
      </top>
      <bottom style="medium">
        <color rgb="FF8EA9DB"/>
      </bottom>
      <diagonal/>
    </border>
    <border>
      <left/>
      <right/>
      <top style="medium">
        <color indexed="64"/>
      </top>
      <bottom style="medium">
        <color indexed="64"/>
      </bottom>
      <diagonal/>
    </border>
  </borders>
  <cellStyleXfs count="4">
    <xf numFmtId="0" fontId="0" fillId="0" borderId="0"/>
    <xf numFmtId="0" fontId="1" fillId="0" borderId="0"/>
    <xf numFmtId="164" fontId="1" fillId="0" borderId="0" applyFont="0" applyFill="0" applyBorder="0" applyAlignment="0" applyProtection="0"/>
    <xf numFmtId="9" fontId="1" fillId="0" borderId="0" applyFont="0" applyFill="0" applyBorder="0" applyAlignment="0" applyProtection="0"/>
  </cellStyleXfs>
  <cellXfs count="255">
    <xf numFmtId="0" fontId="0" fillId="0" borderId="0" xfId="0"/>
    <xf numFmtId="0" fontId="3" fillId="2" borderId="1" xfId="0" applyFont="1" applyFill="1" applyBorder="1" applyAlignment="1">
      <alignment horizontal="center" vertical="center" wrapText="1"/>
    </xf>
    <xf numFmtId="0" fontId="4" fillId="0" borderId="0" xfId="0" applyFont="1"/>
    <xf numFmtId="0" fontId="4" fillId="0" borderId="0" xfId="0" applyFont="1" applyAlignment="1">
      <alignment vertical="center"/>
    </xf>
    <xf numFmtId="0" fontId="4" fillId="0" borderId="1" xfId="0" applyFont="1" applyBorder="1"/>
    <xf numFmtId="0" fontId="4" fillId="0" borderId="1" xfId="0" applyFont="1" applyBorder="1" applyAlignment="1">
      <alignment horizontal="justify" vertical="center"/>
    </xf>
    <xf numFmtId="0" fontId="4" fillId="0" borderId="1" xfId="0" applyFont="1" applyBorder="1" applyAlignment="1">
      <alignment vertical="center"/>
    </xf>
    <xf numFmtId="0" fontId="4" fillId="0" borderId="2" xfId="0" applyFont="1" applyBorder="1" applyAlignment="1">
      <alignment horizontal="justify" vertical="center"/>
    </xf>
    <xf numFmtId="0" fontId="4" fillId="0" borderId="2" xfId="0" applyFont="1" applyBorder="1"/>
    <xf numFmtId="0" fontId="4" fillId="0" borderId="3" xfId="0" applyFont="1" applyBorder="1"/>
    <xf numFmtId="0" fontId="5" fillId="3" borderId="4" xfId="0" applyFont="1" applyFill="1" applyBorder="1" applyAlignment="1">
      <alignment vertical="center"/>
    </xf>
    <xf numFmtId="0" fontId="5" fillId="3" borderId="5" xfId="0" applyFont="1" applyFill="1" applyBorder="1" applyAlignment="1">
      <alignment horizontal="justify" vertical="center"/>
    </xf>
    <xf numFmtId="0" fontId="5" fillId="3" borderId="5" xfId="0" applyFont="1" applyFill="1" applyBorder="1" applyAlignment="1">
      <alignment vertical="center"/>
    </xf>
    <xf numFmtId="0" fontId="5" fillId="3" borderId="6" xfId="0" applyFont="1" applyFill="1" applyBorder="1" applyAlignment="1">
      <alignment vertical="center"/>
    </xf>
    <xf numFmtId="0" fontId="4" fillId="0" borderId="7" xfId="0" applyFont="1" applyBorder="1"/>
    <xf numFmtId="0" fontId="4" fillId="0" borderId="8" xfId="0" applyFont="1" applyBorder="1" applyAlignment="1">
      <alignment horizontal="justify" vertical="center"/>
    </xf>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0" fillId="0" borderId="0" xfId="0" applyNumberFormat="1"/>
    <xf numFmtId="0" fontId="2" fillId="0" borderId="1" xfId="0" applyFont="1" applyFill="1" applyBorder="1" applyAlignment="1">
      <alignment horizontal="center" vertical="center" wrapText="1"/>
    </xf>
    <xf numFmtId="0" fontId="3" fillId="4" borderId="1" xfId="0" applyFont="1" applyFill="1" applyBorder="1" applyAlignment="1">
      <alignment horizontal="center" vertical="center"/>
    </xf>
    <xf numFmtId="165" fontId="3" fillId="4" borderId="1" xfId="2" applyNumberFormat="1" applyFont="1" applyFill="1" applyBorder="1" applyAlignment="1">
      <alignment horizontal="right" vertical="center"/>
    </xf>
    <xf numFmtId="164" fontId="3" fillId="4" borderId="1" xfId="2" applyFont="1" applyFill="1" applyBorder="1" applyAlignment="1">
      <alignment horizontal="right" vertical="center" wrapText="1"/>
    </xf>
    <xf numFmtId="164" fontId="3" fillId="4" borderId="1" xfId="2" applyFont="1" applyFill="1" applyBorder="1" applyAlignment="1">
      <alignment horizontal="right" vertical="center"/>
    </xf>
    <xf numFmtId="0" fontId="3" fillId="4" borderId="1" xfId="0" applyFont="1" applyFill="1" applyBorder="1" applyAlignment="1">
      <alignment horizontal="center" vertical="center" wrapText="1"/>
    </xf>
    <xf numFmtId="0" fontId="4" fillId="5" borderId="1" xfId="0" applyFont="1" applyFill="1" applyBorder="1" applyAlignment="1">
      <alignment horizontal="justify" vertical="center"/>
    </xf>
    <xf numFmtId="10" fontId="3" fillId="4" borderId="1" xfId="3" applyNumberFormat="1" applyFont="1" applyFill="1" applyBorder="1" applyAlignment="1">
      <alignment horizontal="center" vertical="center" wrapText="1"/>
    </xf>
    <xf numFmtId="10" fontId="3" fillId="0" borderId="1" xfId="3" applyNumberFormat="1" applyFont="1" applyFill="1" applyBorder="1" applyAlignment="1">
      <alignment horizontal="center" vertical="center" wrapText="1"/>
    </xf>
    <xf numFmtId="164" fontId="3" fillId="4" borderId="1" xfId="2" applyFont="1" applyFill="1" applyBorder="1" applyAlignment="1">
      <alignment horizontal="center" vertical="center" wrapText="1"/>
    </xf>
    <xf numFmtId="0" fontId="2" fillId="0" borderId="5" xfId="0" applyFont="1" applyFill="1" applyBorder="1" applyAlignment="1">
      <alignment horizontal="center" vertical="center" wrapText="1"/>
    </xf>
    <xf numFmtId="164" fontId="3" fillId="4" borderId="1" xfId="2" applyFont="1" applyFill="1" applyBorder="1" applyAlignment="1">
      <alignment horizontal="center" vertical="center"/>
    </xf>
    <xf numFmtId="164" fontId="0" fillId="0" borderId="0" xfId="2" applyFont="1" applyAlignment="1">
      <alignment horizontal="right" vertical="center" wrapText="1"/>
    </xf>
    <xf numFmtId="0" fontId="0" fillId="0" borderId="0" xfId="0" applyAlignment="1">
      <alignment vertical="center" wrapText="1"/>
    </xf>
    <xf numFmtId="0" fontId="0" fillId="0" borderId="0" xfId="0" applyAlignment="1">
      <alignment horizontal="right" vertical="center" wrapText="1"/>
    </xf>
    <xf numFmtId="0" fontId="0" fillId="0" borderId="0" xfId="0" pivotButton="1" applyAlignment="1">
      <alignment horizontal="left" vertical="center" wrapText="1"/>
    </xf>
    <xf numFmtId="0" fontId="0" fillId="0" borderId="0" xfId="0" applyAlignment="1">
      <alignment horizontal="right" vertical="center"/>
    </xf>
    <xf numFmtId="0" fontId="0" fillId="0" borderId="0" xfId="0" applyAlignment="1">
      <alignment horizontal="left" vertical="center"/>
    </xf>
    <xf numFmtId="164" fontId="0" fillId="0" borderId="0" xfId="0" applyNumberFormat="1" applyAlignment="1">
      <alignment horizontal="right" vertical="center" wrapText="1"/>
    </xf>
    <xf numFmtId="0" fontId="0" fillId="0" borderId="0" xfId="0" applyAlignment="1">
      <alignment vertical="center"/>
    </xf>
    <xf numFmtId="164" fontId="0" fillId="0" borderId="0" xfId="2" applyFont="1" applyAlignment="1">
      <alignment horizontal="right" vertical="center"/>
    </xf>
    <xf numFmtId="0" fontId="0" fillId="6" borderId="0" xfId="0" applyFill="1"/>
    <xf numFmtId="0" fontId="2" fillId="2" borderId="1" xfId="0" applyFont="1" applyFill="1" applyBorder="1" applyAlignment="1">
      <alignment vertical="center" wrapText="1"/>
    </xf>
    <xf numFmtId="0" fontId="0" fillId="0" borderId="1" xfId="0" applyBorder="1"/>
    <xf numFmtId="0" fontId="0" fillId="0" borderId="1" xfId="0" applyBorder="1" applyAlignment="1">
      <alignment horizontal="center"/>
    </xf>
    <xf numFmtId="0" fontId="3" fillId="4" borderId="1" xfId="0" applyFont="1" applyFill="1" applyBorder="1" applyAlignment="1">
      <alignment horizontal="left" vertical="center"/>
    </xf>
    <xf numFmtId="0" fontId="3" fillId="2"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0" fillId="0" borderId="0" xfId="0" applyAlignment="1">
      <alignment horizontal="left" vertical="center" wrapText="1"/>
    </xf>
    <xf numFmtId="164" fontId="0" fillId="0" borderId="0" xfId="0" applyNumberFormat="1" applyAlignment="1">
      <alignment horizontal="left" vertical="center" wrapText="1"/>
    </xf>
    <xf numFmtId="164" fontId="0" fillId="0" borderId="1" xfId="2" applyFont="1" applyBorder="1" applyAlignment="1">
      <alignment horizontal="left" vertical="center" wrapText="1"/>
    </xf>
    <xf numFmtId="164" fontId="0" fillId="0" borderId="0" xfId="2" applyFont="1" applyAlignment="1">
      <alignment horizontal="left" vertical="center" wrapText="1"/>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center" wrapText="1"/>
    </xf>
    <xf numFmtId="164" fontId="2" fillId="0" borderId="0" xfId="2" applyFont="1" applyAlignment="1">
      <alignment vertical="center"/>
    </xf>
    <xf numFmtId="164" fontId="0" fillId="0" borderId="0" xfId="2" applyFont="1" applyAlignment="1">
      <alignment vertical="center"/>
    </xf>
    <xf numFmtId="0" fontId="0" fillId="0" borderId="0" xfId="0" applyAlignment="1">
      <alignment horizontal="center" vertical="center"/>
    </xf>
    <xf numFmtId="165" fontId="0" fillId="0" borderId="0" xfId="2" applyNumberFormat="1" applyFont="1" applyAlignment="1">
      <alignment vertical="center"/>
    </xf>
    <xf numFmtId="0" fontId="0" fillId="6" borderId="0" xfId="0" applyFill="1" applyAlignment="1">
      <alignment vertical="center"/>
    </xf>
    <xf numFmtId="165" fontId="0" fillId="6" borderId="0" xfId="2" applyNumberFormat="1" applyFont="1" applyFill="1" applyAlignment="1">
      <alignment vertical="center"/>
    </xf>
    <xf numFmtId="164" fontId="0" fillId="6" borderId="0" xfId="2" applyFont="1" applyFill="1" applyAlignment="1">
      <alignment vertical="center"/>
    </xf>
    <xf numFmtId="0" fontId="0" fillId="6" borderId="0" xfId="0" applyFont="1" applyFill="1" applyAlignment="1">
      <alignment vertical="center"/>
    </xf>
    <xf numFmtId="0" fontId="2" fillId="0" borderId="0" xfId="0" applyFont="1" applyAlignment="1">
      <alignment vertical="center" wrapText="1"/>
    </xf>
    <xf numFmtId="0" fontId="3" fillId="4" borderId="1" xfId="0" applyFont="1" applyFill="1" applyBorder="1" applyAlignment="1">
      <alignment vertical="center" wrapText="1"/>
    </xf>
    <xf numFmtId="0" fontId="0" fillId="6" borderId="0" xfId="0" applyFill="1" applyAlignment="1">
      <alignment vertical="center" wrapText="1"/>
    </xf>
    <xf numFmtId="0" fontId="0" fillId="7" borderId="0" xfId="0" applyFill="1" applyAlignment="1">
      <alignment vertical="center"/>
    </xf>
    <xf numFmtId="0" fontId="2" fillId="7" borderId="0" xfId="0" applyFont="1" applyFill="1" applyAlignment="1">
      <alignment horizontal="left" vertical="center"/>
    </xf>
    <xf numFmtId="0" fontId="2" fillId="7" borderId="0" xfId="0" applyFont="1" applyFill="1" applyAlignment="1">
      <alignment horizontal="left" vertical="center" wrapText="1"/>
    </xf>
    <xf numFmtId="0" fontId="3" fillId="7" borderId="1" xfId="0" applyFont="1" applyFill="1" applyBorder="1" applyAlignment="1">
      <alignment horizontal="left" vertical="center"/>
    </xf>
    <xf numFmtId="0" fontId="0" fillId="7" borderId="0" xfId="0" applyFill="1" applyAlignment="1">
      <alignment vertical="center" wrapText="1"/>
    </xf>
    <xf numFmtId="164" fontId="0" fillId="7" borderId="0" xfId="2" applyFont="1" applyFill="1" applyAlignment="1">
      <alignment vertical="center"/>
    </xf>
    <xf numFmtId="0" fontId="2" fillId="5" borderId="10" xfId="0" applyFont="1" applyFill="1" applyBorder="1" applyAlignment="1">
      <alignment horizontal="left"/>
    </xf>
    <xf numFmtId="10" fontId="3" fillId="8" borderId="1" xfId="3" applyNumberFormat="1" applyFont="1" applyFill="1" applyBorder="1" applyAlignment="1">
      <alignment horizontal="center" vertical="center" wrapText="1"/>
    </xf>
    <xf numFmtId="0" fontId="0" fillId="0" borderId="0" xfId="0" pivotButton="1" applyAlignment="1">
      <alignment vertical="center"/>
    </xf>
    <xf numFmtId="0" fontId="6" fillId="0" borderId="0" xfId="0" applyFont="1" applyFill="1" applyBorder="1" applyAlignment="1">
      <alignment horizontal="center" vertical="center"/>
    </xf>
    <xf numFmtId="3" fontId="6" fillId="0" borderId="0" xfId="0" applyNumberFormat="1" applyFont="1" applyFill="1" applyBorder="1" applyAlignment="1">
      <alignment horizontal="center" vertical="center" wrapText="1"/>
    </xf>
    <xf numFmtId="0" fontId="6" fillId="0" borderId="0" xfId="0" applyFont="1" applyFill="1" applyBorder="1" applyAlignment="1">
      <alignment horizontal="left" vertical="center"/>
    </xf>
    <xf numFmtId="3" fontId="6" fillId="0" borderId="0" xfId="2" applyNumberFormat="1" applyFont="1" applyFill="1" applyBorder="1" applyAlignment="1">
      <alignment horizontal="center" vertical="center"/>
    </xf>
    <xf numFmtId="4" fontId="6" fillId="0" borderId="0" xfId="2" applyNumberFormat="1" applyFont="1" applyFill="1" applyBorder="1" applyAlignment="1">
      <alignment horizontal="right" vertical="center"/>
    </xf>
    <xf numFmtId="164" fontId="6" fillId="0" borderId="0" xfId="2" applyFont="1" applyFill="1" applyBorder="1" applyAlignment="1">
      <alignment horizontal="center" vertical="center"/>
    </xf>
    <xf numFmtId="10" fontId="6" fillId="0" borderId="0" xfId="3" applyNumberFormat="1" applyFont="1" applyFill="1" applyBorder="1" applyAlignment="1">
      <alignment horizontal="center" vertical="center"/>
    </xf>
    <xf numFmtId="10" fontId="6" fillId="0" borderId="0" xfId="3" applyNumberFormat="1" applyFont="1" applyFill="1" applyBorder="1" applyAlignment="1">
      <alignment horizontal="center" vertical="center" wrapText="1"/>
    </xf>
    <xf numFmtId="164" fontId="6" fillId="0" borderId="0" xfId="2" applyFont="1" applyFill="1" applyBorder="1" applyAlignment="1">
      <alignment vertical="center"/>
    </xf>
    <xf numFmtId="0" fontId="6" fillId="0" borderId="0" xfId="0" applyFont="1" applyFill="1" applyBorder="1" applyAlignment="1">
      <alignment vertical="center"/>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xf>
    <xf numFmtId="3" fontId="7" fillId="0" borderId="0" xfId="2" applyNumberFormat="1" applyFont="1" applyFill="1" applyBorder="1" applyAlignment="1">
      <alignment horizontal="center" vertical="center"/>
    </xf>
    <xf numFmtId="4" fontId="7" fillId="0" borderId="0" xfId="2" applyNumberFormat="1" applyFont="1" applyFill="1" applyBorder="1" applyAlignment="1">
      <alignment horizontal="right" vertical="center" wrapText="1"/>
    </xf>
    <xf numFmtId="4" fontId="6" fillId="0" borderId="0" xfId="2" applyNumberFormat="1" applyFont="1" applyFill="1" applyBorder="1" applyAlignment="1">
      <alignment horizontal="right" vertical="center" wrapText="1"/>
    </xf>
    <xf numFmtId="164" fontId="7" fillId="0" borderId="0" xfId="2" applyFont="1" applyFill="1" applyBorder="1" applyAlignment="1">
      <alignment horizontal="center" vertical="center"/>
    </xf>
    <xf numFmtId="0" fontId="7" fillId="0" borderId="0" xfId="0" applyFont="1" applyFill="1" applyBorder="1" applyAlignment="1">
      <alignment horizontal="center" vertical="center" wrapText="1"/>
    </xf>
    <xf numFmtId="10" fontId="7" fillId="0" borderId="0" xfId="3" applyNumberFormat="1" applyFont="1" applyFill="1" applyBorder="1" applyAlignment="1">
      <alignment horizontal="center" vertical="center" wrapText="1"/>
    </xf>
    <xf numFmtId="164" fontId="7" fillId="0" borderId="0" xfId="2" applyFont="1" applyFill="1" applyBorder="1" applyAlignment="1">
      <alignment horizontal="center" vertical="center" wrapText="1"/>
    </xf>
    <xf numFmtId="3" fontId="7" fillId="0" borderId="0" xfId="2" applyNumberFormat="1" applyFont="1" applyFill="1" applyBorder="1" applyAlignment="1">
      <alignment horizontal="center" vertical="center" wrapText="1"/>
    </xf>
    <xf numFmtId="0" fontId="7" fillId="0" borderId="0" xfId="0" applyFont="1" applyFill="1" applyBorder="1" applyAlignment="1">
      <alignment vertical="center"/>
    </xf>
    <xf numFmtId="0" fontId="6" fillId="0" borderId="0" xfId="0" applyFont="1" applyFill="1" applyBorder="1" applyAlignment="1">
      <alignment horizontal="center" vertical="center" wrapText="1"/>
    </xf>
    <xf numFmtId="164" fontId="7" fillId="0" borderId="0" xfId="2" applyFont="1" applyFill="1" applyBorder="1" applyAlignment="1">
      <alignment vertical="center"/>
    </xf>
    <xf numFmtId="0" fontId="7" fillId="0" borderId="0" xfId="0" applyFont="1" applyFill="1" applyBorder="1" applyAlignment="1">
      <alignment horizontal="left" vertical="center" wrapText="1"/>
    </xf>
    <xf numFmtId="4" fontId="7" fillId="0" borderId="0" xfId="2" applyNumberFormat="1" applyFont="1" applyFill="1" applyBorder="1" applyAlignment="1">
      <alignment horizontal="right" vertical="center"/>
    </xf>
    <xf numFmtId="3" fontId="7" fillId="0" borderId="0" xfId="0" applyNumberFormat="1" applyFont="1" applyFill="1" applyBorder="1" applyAlignment="1">
      <alignment horizontal="center" vertical="center" wrapText="1"/>
    </xf>
    <xf numFmtId="0" fontId="7" fillId="0" borderId="0" xfId="0" applyFont="1" applyFill="1" applyBorder="1" applyAlignment="1">
      <alignment vertical="center" wrapText="1"/>
    </xf>
    <xf numFmtId="0" fontId="6" fillId="0" borderId="0" xfId="0" applyFont="1" applyFill="1" applyBorder="1" applyAlignment="1">
      <alignment horizontal="left" vertical="center" wrapText="1"/>
    </xf>
    <xf numFmtId="0" fontId="6" fillId="0" borderId="0" xfId="0" applyFont="1" applyFill="1" applyBorder="1" applyAlignment="1">
      <alignment vertical="center" wrapText="1"/>
    </xf>
    <xf numFmtId="164" fontId="7" fillId="0" borderId="0" xfId="2" applyFont="1" applyFill="1" applyBorder="1" applyAlignment="1">
      <alignment horizontal="right" vertical="center"/>
    </xf>
    <xf numFmtId="3" fontId="7" fillId="0" borderId="0" xfId="0" applyNumberFormat="1" applyFont="1" applyFill="1" applyBorder="1" applyAlignment="1">
      <alignment vertical="center"/>
    </xf>
    <xf numFmtId="10" fontId="6" fillId="0" borderId="0" xfId="3" applyNumberFormat="1" applyFont="1" applyFill="1" applyBorder="1" applyAlignment="1">
      <alignment horizontal="right" vertical="center"/>
    </xf>
    <xf numFmtId="3" fontId="6" fillId="0" borderId="0" xfId="0" applyNumberFormat="1" applyFont="1" applyFill="1" applyBorder="1" applyAlignment="1">
      <alignment vertical="center"/>
    </xf>
    <xf numFmtId="166" fontId="6" fillId="0" borderId="0" xfId="3" applyNumberFormat="1" applyFont="1" applyFill="1" applyBorder="1" applyAlignment="1">
      <alignment horizontal="right" vertical="center"/>
    </xf>
    <xf numFmtId="0" fontId="7" fillId="9" borderId="0" xfId="0" applyFont="1" applyFill="1" applyBorder="1" applyAlignment="1">
      <alignment horizontal="center" vertical="center" wrapText="1"/>
    </xf>
    <xf numFmtId="0" fontId="7" fillId="9" borderId="0" xfId="0" applyFont="1" applyFill="1" applyBorder="1" applyAlignment="1">
      <alignment horizontal="left" vertical="center" wrapText="1"/>
    </xf>
    <xf numFmtId="4" fontId="7" fillId="9" borderId="0" xfId="2" applyNumberFormat="1" applyFont="1" applyFill="1" applyBorder="1" applyAlignment="1">
      <alignment horizontal="right" vertical="center"/>
    </xf>
    <xf numFmtId="0" fontId="7" fillId="9" borderId="0" xfId="0" applyFont="1" applyFill="1" applyBorder="1" applyAlignment="1">
      <alignment horizontal="center" vertical="center"/>
    </xf>
    <xf numFmtId="3" fontId="9" fillId="0" borderId="0" xfId="2" applyNumberFormat="1" applyFont="1" applyFill="1" applyBorder="1" applyAlignment="1">
      <alignment horizontal="center" vertical="center" wrapText="1"/>
    </xf>
    <xf numFmtId="0" fontId="7" fillId="0" borderId="11" xfId="0" applyFont="1" applyFill="1" applyBorder="1" applyAlignment="1">
      <alignment horizontal="center" vertical="center" wrapText="1"/>
    </xf>
    <xf numFmtId="3" fontId="10" fillId="0" borderId="0" xfId="0" applyNumberFormat="1" applyFont="1" applyFill="1" applyBorder="1" applyAlignment="1">
      <alignment horizontal="center" vertical="center"/>
    </xf>
    <xf numFmtId="3" fontId="11" fillId="0" borderId="0" xfId="0" applyNumberFormat="1" applyFont="1" applyFill="1" applyBorder="1" applyAlignment="1">
      <alignment horizontal="center" vertical="center" wrapText="1"/>
    </xf>
    <xf numFmtId="4" fontId="10" fillId="9" borderId="0" xfId="2" applyNumberFormat="1" applyFont="1" applyFill="1" applyBorder="1" applyAlignment="1">
      <alignment horizontal="right" vertical="center"/>
    </xf>
    <xf numFmtId="3" fontId="10" fillId="0" borderId="0" xfId="0" applyNumberFormat="1" applyFont="1" applyFill="1" applyBorder="1" applyAlignment="1">
      <alignment horizontal="center" vertical="center" wrapText="1"/>
    </xf>
    <xf numFmtId="3" fontId="11" fillId="0" borderId="0" xfId="0" applyNumberFormat="1" applyFont="1" applyFill="1" applyBorder="1" applyAlignment="1">
      <alignment horizontal="center" vertical="center"/>
    </xf>
    <xf numFmtId="0" fontId="6" fillId="0" borderId="11" xfId="0" applyFont="1" applyFill="1" applyBorder="1" applyAlignment="1">
      <alignment horizontal="center" vertical="center"/>
    </xf>
    <xf numFmtId="0" fontId="6" fillId="0" borderId="11" xfId="0" applyFont="1" applyFill="1" applyBorder="1" applyAlignment="1">
      <alignment horizontal="left" vertical="center"/>
    </xf>
    <xf numFmtId="0" fontId="7" fillId="0" borderId="11" xfId="0" applyFont="1" applyFill="1" applyBorder="1" applyAlignment="1">
      <alignment horizontal="right" vertical="center" wrapText="1"/>
    </xf>
    <xf numFmtId="164" fontId="6" fillId="0" borderId="0" xfId="2" applyFont="1" applyFill="1" applyBorder="1" applyAlignment="1">
      <alignment horizontal="right" vertical="center"/>
    </xf>
    <xf numFmtId="164" fontId="7" fillId="0" borderId="0" xfId="2" applyFont="1" applyFill="1" applyBorder="1" applyAlignment="1">
      <alignment horizontal="right" vertical="center" wrapText="1"/>
    </xf>
    <xf numFmtId="0" fontId="0" fillId="0" borderId="0" xfId="0" applyAlignment="1">
      <alignment horizontal="right" wrapText="1"/>
    </xf>
    <xf numFmtId="0" fontId="6" fillId="0" borderId="0" xfId="0" applyFont="1" applyFill="1" applyBorder="1" applyAlignment="1">
      <alignment horizontal="center" vertical="center"/>
    </xf>
    <xf numFmtId="0" fontId="12" fillId="0" borderId="0" xfId="0" applyFont="1" applyAlignment="1">
      <alignment vertical="center"/>
    </xf>
    <xf numFmtId="0" fontId="5" fillId="0" borderId="13" xfId="0" applyFont="1" applyBorder="1" applyAlignment="1">
      <alignment vertical="center"/>
    </xf>
    <xf numFmtId="0" fontId="5" fillId="0" borderId="13" xfId="0" applyFont="1" applyBorder="1" applyAlignment="1">
      <alignment horizontal="right" vertical="center" wrapText="1"/>
    </xf>
    <xf numFmtId="4" fontId="4" fillId="0" borderId="0" xfId="0" applyNumberFormat="1" applyFont="1" applyAlignment="1">
      <alignment horizontal="right" vertical="center"/>
    </xf>
    <xf numFmtId="0" fontId="5" fillId="0" borderId="12" xfId="0" applyFont="1" applyBorder="1" applyAlignment="1">
      <alignment vertical="center"/>
    </xf>
    <xf numFmtId="4" fontId="5" fillId="0" borderId="12" xfId="0" applyNumberFormat="1" applyFont="1" applyBorder="1" applyAlignment="1">
      <alignment horizontal="right" vertical="center"/>
    </xf>
    <xf numFmtId="0" fontId="5" fillId="0" borderId="0" xfId="0" applyFont="1" applyAlignment="1">
      <alignment vertical="center"/>
    </xf>
    <xf numFmtId="0" fontId="5" fillId="0" borderId="14" xfId="0" applyFont="1" applyBorder="1" applyAlignment="1">
      <alignment vertical="center"/>
    </xf>
    <xf numFmtId="0" fontId="5" fillId="0" borderId="14" xfId="0" applyFont="1" applyBorder="1" applyAlignment="1">
      <alignment horizontal="right" vertical="center" wrapText="1"/>
    </xf>
    <xf numFmtId="4" fontId="4" fillId="0" borderId="0" xfId="0" applyNumberFormat="1" applyFont="1" applyAlignment="1">
      <alignment horizontal="right" vertical="center" wrapText="1"/>
    </xf>
    <xf numFmtId="0" fontId="4" fillId="0" borderId="0" xfId="0" applyFont="1" applyAlignment="1">
      <alignment horizontal="right" vertical="center" wrapText="1"/>
    </xf>
    <xf numFmtId="4" fontId="5" fillId="0" borderId="12" xfId="0" applyNumberFormat="1" applyFont="1" applyBorder="1" applyAlignment="1">
      <alignment horizontal="right" vertical="center" wrapText="1"/>
    </xf>
    <xf numFmtId="0" fontId="7" fillId="10" borderId="0" xfId="0" applyFont="1" applyFill="1" applyBorder="1" applyAlignment="1">
      <alignment horizontal="left" vertical="center" wrapText="1"/>
    </xf>
    <xf numFmtId="0" fontId="6" fillId="10" borderId="0" xfId="0" applyFont="1" applyFill="1" applyBorder="1" applyAlignment="1">
      <alignment horizontal="center" vertical="center" wrapText="1"/>
    </xf>
    <xf numFmtId="0" fontId="7" fillId="10" borderId="0" xfId="0" applyFont="1" applyFill="1" applyBorder="1" applyAlignment="1">
      <alignment horizontal="center" vertical="center" wrapText="1"/>
    </xf>
    <xf numFmtId="0" fontId="6" fillId="10" borderId="0" xfId="0" applyFont="1" applyFill="1" applyBorder="1" applyAlignment="1">
      <alignment vertical="center"/>
    </xf>
    <xf numFmtId="0" fontId="6" fillId="10" borderId="0" xfId="0" applyFont="1" applyFill="1" applyBorder="1" applyAlignment="1">
      <alignment horizontal="center" vertical="center"/>
    </xf>
    <xf numFmtId="0" fontId="6" fillId="10" borderId="0" xfId="0" applyFont="1" applyFill="1" applyBorder="1" applyAlignment="1">
      <alignment vertical="center" wrapText="1"/>
    </xf>
    <xf numFmtId="0" fontId="6" fillId="11" borderId="0" xfId="0" applyFont="1" applyFill="1" applyBorder="1" applyAlignment="1">
      <alignment horizontal="center" vertical="center" wrapText="1"/>
    </xf>
    <xf numFmtId="0" fontId="6" fillId="11" borderId="0" xfId="0" applyFont="1" applyFill="1" applyBorder="1" applyAlignment="1">
      <alignment horizontal="left" vertical="center" wrapText="1"/>
    </xf>
    <xf numFmtId="0" fontId="2" fillId="0" borderId="0" xfId="0" pivotButton="1" applyFont="1" applyAlignment="1">
      <alignment vertical="center"/>
    </xf>
    <xf numFmtId="0" fontId="2" fillId="0" borderId="0" xfId="0" applyFont="1" applyAlignment="1">
      <alignment horizontal="right" vertical="center" wrapText="1"/>
    </xf>
    <xf numFmtId="0" fontId="2" fillId="0" borderId="0" xfId="0" applyFont="1"/>
    <xf numFmtId="0" fontId="2" fillId="0" borderId="0" xfId="0" applyFont="1" applyAlignment="1">
      <alignment horizontal="left" vertical="center"/>
    </xf>
    <xf numFmtId="164" fontId="2" fillId="0" borderId="0" xfId="0" applyNumberFormat="1" applyFont="1" applyAlignment="1">
      <alignment horizontal="right" vertical="center" wrapText="1"/>
    </xf>
    <xf numFmtId="0" fontId="2" fillId="0" borderId="0" xfId="0" applyFont="1" applyAlignment="1">
      <alignment horizontal="right" vertical="center"/>
    </xf>
    <xf numFmtId="0" fontId="2" fillId="0" borderId="0" xfId="0" applyFont="1" applyAlignment="1"/>
    <xf numFmtId="0" fontId="2" fillId="0" borderId="0" xfId="0" applyFont="1" applyAlignment="1">
      <alignment wrapText="1"/>
    </xf>
    <xf numFmtId="164" fontId="2" fillId="0" borderId="0" xfId="0" applyNumberFormat="1" applyFont="1" applyAlignment="1">
      <alignment vertical="center" wrapText="1"/>
    </xf>
    <xf numFmtId="0" fontId="2" fillId="0" borderId="0" xfId="0" applyFont="1" applyAlignment="1">
      <alignment horizontal="right" wrapText="1"/>
    </xf>
    <xf numFmtId="0" fontId="6" fillId="0" borderId="0" xfId="0" applyFont="1" applyFill="1" applyBorder="1" applyAlignment="1">
      <alignment horizontal="center" vertical="center"/>
    </xf>
    <xf numFmtId="168" fontId="7" fillId="9" borderId="0" xfId="0" applyNumberFormat="1" applyFont="1" applyFill="1" applyBorder="1" applyAlignment="1">
      <alignment horizontal="center" vertical="center" wrapText="1"/>
    </xf>
    <xf numFmtId="168" fontId="7" fillId="9" borderId="0" xfId="2" applyNumberFormat="1" applyFont="1" applyFill="1" applyBorder="1" applyAlignment="1">
      <alignment horizontal="center" vertical="center" wrapText="1"/>
    </xf>
    <xf numFmtId="168" fontId="7" fillId="9" borderId="0" xfId="2" applyNumberFormat="1" applyFont="1" applyFill="1" applyBorder="1" applyAlignment="1">
      <alignment horizontal="right" vertical="center" wrapText="1"/>
    </xf>
    <xf numFmtId="168" fontId="7" fillId="9" borderId="0" xfId="2" applyNumberFormat="1" applyFont="1" applyFill="1" applyBorder="1" applyAlignment="1">
      <alignment horizontal="right" vertical="center"/>
    </xf>
    <xf numFmtId="168" fontId="7" fillId="0" borderId="0" xfId="0" applyNumberFormat="1" applyFont="1" applyFill="1" applyBorder="1" applyAlignment="1">
      <alignment horizontal="center" vertical="center" wrapText="1"/>
    </xf>
    <xf numFmtId="168" fontId="7" fillId="0" borderId="0" xfId="2" applyNumberFormat="1" applyFont="1" applyFill="1" applyBorder="1" applyAlignment="1">
      <alignment horizontal="center" vertical="center" wrapText="1"/>
    </xf>
    <xf numFmtId="168" fontId="7" fillId="0" borderId="0" xfId="2" applyNumberFormat="1" applyFont="1" applyFill="1" applyBorder="1" applyAlignment="1">
      <alignment horizontal="right" vertical="center" wrapText="1"/>
    </xf>
    <xf numFmtId="168" fontId="6" fillId="0" borderId="0" xfId="2" applyNumberFormat="1" applyFont="1" applyFill="1" applyBorder="1" applyAlignment="1">
      <alignment horizontal="right" vertical="center"/>
    </xf>
    <xf numFmtId="168" fontId="6" fillId="0" borderId="0" xfId="2" applyNumberFormat="1" applyFont="1" applyFill="1" applyBorder="1" applyAlignment="1">
      <alignment horizontal="center" vertical="center"/>
    </xf>
    <xf numFmtId="168" fontId="6" fillId="0" borderId="0" xfId="0" applyNumberFormat="1" applyFont="1" applyFill="1" applyBorder="1" applyAlignment="1">
      <alignment horizontal="center" vertical="center" wrapText="1"/>
    </xf>
    <xf numFmtId="168" fontId="7" fillId="0" borderId="0" xfId="2" applyNumberFormat="1" applyFont="1" applyFill="1" applyBorder="1" applyAlignment="1">
      <alignment horizontal="right" vertical="center"/>
    </xf>
    <xf numFmtId="168" fontId="7" fillId="0" borderId="0" xfId="2" applyNumberFormat="1" applyFont="1" applyFill="1" applyBorder="1" applyAlignment="1">
      <alignment vertical="center"/>
    </xf>
    <xf numFmtId="168" fontId="6" fillId="0" borderId="0" xfId="2" applyNumberFormat="1" applyFont="1" applyFill="1" applyBorder="1" applyAlignment="1">
      <alignment horizontal="center" vertical="center" wrapText="1"/>
    </xf>
    <xf numFmtId="168" fontId="6" fillId="0" borderId="0" xfId="2" applyNumberFormat="1" applyFont="1" applyFill="1" applyBorder="1" applyAlignment="1">
      <alignment horizontal="right" vertical="center" wrapText="1"/>
    </xf>
    <xf numFmtId="168" fontId="6" fillId="0" borderId="0" xfId="0" applyNumberFormat="1" applyFont="1" applyFill="1" applyBorder="1" applyAlignment="1">
      <alignment horizontal="center" vertical="center"/>
    </xf>
    <xf numFmtId="168" fontId="7" fillId="0" borderId="0" xfId="2" applyNumberFormat="1" applyFont="1" applyFill="1" applyBorder="1" applyAlignment="1">
      <alignment horizontal="center" vertical="center"/>
    </xf>
    <xf numFmtId="168" fontId="7" fillId="10" borderId="0" xfId="0" applyNumberFormat="1" applyFont="1" applyFill="1" applyBorder="1" applyAlignment="1">
      <alignment horizontal="center" vertical="center" wrapText="1"/>
    </xf>
    <xf numFmtId="168" fontId="7" fillId="10" borderId="0" xfId="2" applyNumberFormat="1" applyFont="1" applyFill="1" applyBorder="1" applyAlignment="1">
      <alignment horizontal="center" vertical="center" wrapText="1"/>
    </xf>
    <xf numFmtId="168" fontId="7" fillId="10" borderId="0" xfId="2" applyNumberFormat="1" applyFont="1" applyFill="1" applyBorder="1" applyAlignment="1">
      <alignment horizontal="right" vertical="center" wrapText="1"/>
    </xf>
    <xf numFmtId="168" fontId="6" fillId="10" borderId="0" xfId="2" applyNumberFormat="1" applyFont="1" applyFill="1" applyBorder="1" applyAlignment="1">
      <alignment horizontal="right" vertical="center"/>
    </xf>
    <xf numFmtId="168" fontId="7" fillId="10" borderId="0" xfId="2" applyNumberFormat="1" applyFont="1" applyFill="1" applyBorder="1" applyAlignment="1">
      <alignment horizontal="center" vertical="center"/>
    </xf>
    <xf numFmtId="168" fontId="6" fillId="10" borderId="0" xfId="0" applyNumberFormat="1" applyFont="1" applyFill="1" applyBorder="1" applyAlignment="1">
      <alignment horizontal="center" vertical="center" wrapText="1"/>
    </xf>
    <xf numFmtId="168" fontId="7" fillId="10" borderId="0" xfId="2" applyNumberFormat="1" applyFont="1" applyFill="1" applyBorder="1" applyAlignment="1">
      <alignment horizontal="right" vertical="center"/>
    </xf>
    <xf numFmtId="168" fontId="7" fillId="10" borderId="0" xfId="2" applyNumberFormat="1" applyFont="1" applyFill="1" applyBorder="1" applyAlignment="1">
      <alignment vertical="center"/>
    </xf>
    <xf numFmtId="168" fontId="6" fillId="10" borderId="0" xfId="0" applyNumberFormat="1" applyFont="1" applyFill="1" applyBorder="1" applyAlignment="1">
      <alignment horizontal="center" vertical="center"/>
    </xf>
    <xf numFmtId="168" fontId="6" fillId="10" borderId="0" xfId="0" applyNumberFormat="1" applyFont="1" applyFill="1" applyBorder="1" applyAlignment="1">
      <alignment horizontal="right" vertical="center"/>
    </xf>
    <xf numFmtId="168" fontId="6" fillId="10" borderId="0" xfId="2" applyNumberFormat="1" applyFont="1" applyFill="1" applyBorder="1" applyAlignment="1">
      <alignment horizontal="center" vertical="center"/>
    </xf>
    <xf numFmtId="168" fontId="6" fillId="10" borderId="0" xfId="2" applyNumberFormat="1" applyFont="1" applyFill="1" applyBorder="1" applyAlignment="1">
      <alignment horizontal="center" vertical="center" wrapText="1"/>
    </xf>
    <xf numFmtId="168" fontId="6" fillId="10" borderId="0" xfId="2" applyNumberFormat="1" applyFont="1" applyFill="1" applyBorder="1" applyAlignment="1">
      <alignment vertical="center"/>
    </xf>
    <xf numFmtId="168" fontId="6" fillId="11" borderId="0" xfId="0" applyNumberFormat="1" applyFont="1" applyFill="1" applyBorder="1" applyAlignment="1">
      <alignment horizontal="center" vertical="center" wrapText="1"/>
    </xf>
    <xf numFmtId="168" fontId="6" fillId="11" borderId="0" xfId="2" applyNumberFormat="1" applyFont="1" applyFill="1" applyBorder="1" applyAlignment="1">
      <alignment horizontal="center" vertical="center" wrapText="1"/>
    </xf>
    <xf numFmtId="168" fontId="6" fillId="11" borderId="0" xfId="2" applyNumberFormat="1" applyFont="1" applyFill="1" applyBorder="1" applyAlignment="1">
      <alignment horizontal="right" vertical="center" wrapText="1"/>
    </xf>
    <xf numFmtId="168" fontId="6" fillId="11" borderId="0" xfId="2" applyNumberFormat="1" applyFont="1" applyFill="1" applyBorder="1" applyAlignment="1">
      <alignment horizontal="right" vertical="center"/>
    </xf>
    <xf numFmtId="168" fontId="6" fillId="11" borderId="0" xfId="2" applyNumberFormat="1" applyFont="1" applyFill="1" applyBorder="1" applyAlignment="1">
      <alignment horizontal="center" vertical="center"/>
    </xf>
    <xf numFmtId="168" fontId="6" fillId="11" borderId="0" xfId="0" applyNumberFormat="1" applyFont="1" applyFill="1" applyBorder="1" applyAlignment="1">
      <alignment horizontal="center" vertical="center"/>
    </xf>
    <xf numFmtId="168" fontId="7" fillId="11" borderId="0" xfId="2" applyNumberFormat="1" applyFont="1" applyFill="1" applyBorder="1" applyAlignment="1">
      <alignment horizontal="center" vertical="center" wrapText="1"/>
    </xf>
    <xf numFmtId="168" fontId="7" fillId="11" borderId="0" xfId="2" applyNumberFormat="1" applyFont="1" applyFill="1" applyBorder="1" applyAlignment="1">
      <alignment horizontal="right" vertical="center"/>
    </xf>
    <xf numFmtId="168" fontId="7" fillId="11" borderId="0" xfId="2" applyNumberFormat="1" applyFont="1" applyFill="1" applyBorder="1" applyAlignment="1">
      <alignment vertical="center"/>
    </xf>
    <xf numFmtId="0" fontId="13" fillId="0" borderId="0" xfId="0" applyFont="1" applyFill="1" applyBorder="1" applyAlignment="1"/>
    <xf numFmtId="4" fontId="6" fillId="0" borderId="0" xfId="0" applyNumberFormat="1" applyFont="1" applyFill="1" applyBorder="1" applyAlignment="1">
      <alignment vertical="center" wrapText="1"/>
    </xf>
    <xf numFmtId="4" fontId="6" fillId="0" borderId="0" xfId="0" applyNumberFormat="1" applyFont="1" applyFill="1" applyBorder="1" applyAlignment="1">
      <alignment vertical="center"/>
    </xf>
    <xf numFmtId="0" fontId="13" fillId="0" borderId="0" xfId="0" applyFont="1" applyFill="1" applyBorder="1" applyAlignment="1">
      <alignment vertical="center"/>
    </xf>
    <xf numFmtId="167" fontId="6" fillId="0" borderId="0" xfId="2" applyNumberFormat="1" applyFont="1" applyFill="1" applyBorder="1" applyAlignment="1">
      <alignment vertical="center" wrapText="1"/>
    </xf>
    <xf numFmtId="167" fontId="13" fillId="0" borderId="0" xfId="2" applyNumberFormat="1" applyFont="1" applyFill="1" applyBorder="1" applyAlignment="1">
      <alignment vertical="center" wrapText="1"/>
    </xf>
    <xf numFmtId="167" fontId="6" fillId="0" borderId="0" xfId="2" applyNumberFormat="1" applyFont="1" applyFill="1" applyBorder="1" applyAlignment="1">
      <alignment vertical="center"/>
    </xf>
    <xf numFmtId="167" fontId="13" fillId="0" borderId="0" xfId="2" applyNumberFormat="1" applyFont="1" applyFill="1" applyBorder="1" applyAlignment="1"/>
    <xf numFmtId="0" fontId="6" fillId="0" borderId="0" xfId="0" applyFont="1" applyFill="1" applyBorder="1" applyAlignment="1"/>
    <xf numFmtId="167" fontId="6" fillId="0" borderId="0" xfId="2" applyNumberFormat="1" applyFont="1" applyFill="1" applyBorder="1" applyAlignment="1"/>
    <xf numFmtId="0" fontId="6" fillId="0" borderId="0" xfId="0" applyFont="1" applyFill="1" applyBorder="1" applyAlignment="1">
      <alignment horizontal="left" vertical="top" wrapText="1"/>
    </xf>
    <xf numFmtId="0" fontId="6" fillId="0" borderId="0" xfId="0" applyFont="1" applyBorder="1" applyAlignment="1">
      <alignment horizontal="left" vertical="top" wrapText="1"/>
    </xf>
    <xf numFmtId="0" fontId="6" fillId="2" borderId="0" xfId="0" applyFont="1" applyFill="1" applyBorder="1" applyAlignment="1">
      <alignment horizontal="left" vertical="top" wrapText="1"/>
    </xf>
    <xf numFmtId="0" fontId="13" fillId="0" borderId="0" xfId="0" applyFont="1" applyFill="1" applyBorder="1" applyAlignment="1">
      <alignment horizontal="center"/>
    </xf>
    <xf numFmtId="0" fontId="6" fillId="4" borderId="0" xfId="0" applyFont="1" applyFill="1" applyBorder="1" applyAlignment="1">
      <alignment vertical="center"/>
    </xf>
    <xf numFmtId="0" fontId="6" fillId="4" borderId="0" xfId="0" applyFont="1" applyFill="1" applyBorder="1" applyAlignment="1">
      <alignment vertical="center" wrapText="1"/>
    </xf>
    <xf numFmtId="0" fontId="6" fillId="0" borderId="0" xfId="0" applyFont="1" applyBorder="1" applyAlignment="1">
      <alignment horizontal="left" vertical="center" wrapText="1"/>
    </xf>
    <xf numFmtId="0" fontId="6" fillId="0" borderId="0" xfId="0" applyFont="1" applyBorder="1" applyAlignment="1">
      <alignment horizontal="center" vertical="top" wrapText="1"/>
    </xf>
    <xf numFmtId="0" fontId="13" fillId="0" borderId="0" xfId="0" applyFont="1" applyBorder="1"/>
    <xf numFmtId="0" fontId="7" fillId="0" borderId="0" xfId="0" applyFont="1" applyFill="1" applyBorder="1" applyAlignment="1">
      <alignment horizontal="left" vertical="center"/>
    </xf>
    <xf numFmtId="0" fontId="7" fillId="0" borderId="11" xfId="0" applyFont="1" applyFill="1" applyBorder="1" applyAlignment="1">
      <alignment horizontal="left" vertical="center"/>
    </xf>
    <xf numFmtId="0" fontId="6" fillId="0" borderId="0" xfId="0" applyFont="1" applyFill="1" applyBorder="1" applyAlignment="1">
      <alignment horizontal="center" vertical="center"/>
    </xf>
    <xf numFmtId="0" fontId="6" fillId="0" borderId="11" xfId="0" applyFont="1" applyFill="1" applyBorder="1" applyAlignment="1">
      <alignment horizontal="center" vertical="center"/>
    </xf>
    <xf numFmtId="0" fontId="7" fillId="9" borderId="0" xfId="0" applyFont="1" applyFill="1" applyBorder="1" applyAlignment="1">
      <alignment horizontal="center" vertical="center"/>
    </xf>
    <xf numFmtId="3" fontId="7" fillId="9" borderId="0" xfId="0" applyNumberFormat="1" applyFont="1" applyFill="1" applyBorder="1" applyAlignment="1">
      <alignment horizontal="center" vertical="center"/>
    </xf>
    <xf numFmtId="0" fontId="7" fillId="0" borderId="11" xfId="0" applyFont="1" applyFill="1" applyBorder="1" applyAlignment="1">
      <alignment horizontal="center" vertical="center"/>
    </xf>
    <xf numFmtId="3" fontId="7" fillId="0" borderId="11" xfId="0" applyNumberFormat="1" applyFont="1" applyFill="1" applyBorder="1" applyAlignment="1">
      <alignment horizontal="center" vertical="center"/>
    </xf>
    <xf numFmtId="0" fontId="7" fillId="0" borderId="0"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0" xfId="0" applyFont="1" applyFill="1" applyBorder="1" applyAlignment="1">
      <alignment horizontal="right" vertical="center" wrapText="1"/>
    </xf>
    <xf numFmtId="0" fontId="7" fillId="0" borderId="11" xfId="0" applyFont="1" applyFill="1" applyBorder="1" applyAlignment="1">
      <alignment horizontal="right" vertical="center" wrapText="1"/>
    </xf>
    <xf numFmtId="0" fontId="6" fillId="7" borderId="0" xfId="0" applyFont="1" applyFill="1" applyBorder="1" applyAlignment="1">
      <alignment horizontal="center" vertical="center" wrapText="1"/>
    </xf>
    <xf numFmtId="0" fontId="6" fillId="7" borderId="0" xfId="0" applyFont="1" applyFill="1" applyBorder="1" applyAlignment="1">
      <alignment horizontal="left" vertical="center" wrapText="1"/>
    </xf>
    <xf numFmtId="168" fontId="6" fillId="7" borderId="0" xfId="0" applyNumberFormat="1" applyFont="1" applyFill="1" applyBorder="1" applyAlignment="1">
      <alignment horizontal="center" vertical="center" wrapText="1"/>
    </xf>
    <xf numFmtId="168" fontId="6" fillId="7" borderId="0" xfId="2" applyNumberFormat="1" applyFont="1" applyFill="1" applyBorder="1" applyAlignment="1">
      <alignment horizontal="center" vertical="center" wrapText="1"/>
    </xf>
    <xf numFmtId="168" fontId="6" fillId="7" borderId="0" xfId="2" applyNumberFormat="1" applyFont="1" applyFill="1" applyBorder="1" applyAlignment="1">
      <alignment horizontal="right" vertical="center" wrapText="1"/>
    </xf>
    <xf numFmtId="168" fontId="6" fillId="7" borderId="0" xfId="2" applyNumberFormat="1" applyFont="1" applyFill="1" applyBorder="1" applyAlignment="1">
      <alignment horizontal="right" vertical="center"/>
    </xf>
    <xf numFmtId="168" fontId="6" fillId="7" borderId="0" xfId="2" applyNumberFormat="1" applyFont="1" applyFill="1" applyBorder="1" applyAlignment="1">
      <alignment horizontal="center" vertical="center"/>
    </xf>
    <xf numFmtId="168" fontId="6" fillId="7" borderId="0" xfId="0" applyNumberFormat="1" applyFont="1" applyFill="1" applyBorder="1" applyAlignment="1">
      <alignment horizontal="center" vertical="center"/>
    </xf>
    <xf numFmtId="168" fontId="7" fillId="7" borderId="0" xfId="2" applyNumberFormat="1" applyFont="1" applyFill="1" applyBorder="1" applyAlignment="1">
      <alignment horizontal="center" vertical="center" wrapText="1"/>
    </xf>
    <xf numFmtId="168" fontId="7" fillId="7" borderId="0" xfId="2" applyNumberFormat="1" applyFont="1" applyFill="1" applyBorder="1" applyAlignment="1">
      <alignment horizontal="right" vertical="center"/>
    </xf>
    <xf numFmtId="168" fontId="7" fillId="7" borderId="0" xfId="2" applyNumberFormat="1" applyFont="1" applyFill="1" applyBorder="1" applyAlignment="1">
      <alignment vertical="center"/>
    </xf>
    <xf numFmtId="3" fontId="11" fillId="7" borderId="0" xfId="0" applyNumberFormat="1" applyFont="1" applyFill="1" applyBorder="1" applyAlignment="1">
      <alignment horizontal="center" vertical="center" wrapText="1"/>
    </xf>
    <xf numFmtId="3" fontId="6" fillId="7" borderId="0" xfId="0" applyNumberFormat="1" applyFont="1" applyFill="1" applyBorder="1" applyAlignment="1">
      <alignment horizontal="center" vertical="center" wrapText="1"/>
    </xf>
    <xf numFmtId="3" fontId="6" fillId="0" borderId="1" xfId="2" applyNumberFormat="1" applyFont="1" applyFill="1" applyBorder="1" applyAlignment="1">
      <alignment horizontal="center" vertical="center"/>
    </xf>
    <xf numFmtId="3" fontId="6" fillId="7" borderId="0" xfId="2"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3" fontId="6" fillId="0" borderId="1" xfId="2" applyNumberFormat="1" applyFont="1" applyFill="1" applyBorder="1" applyAlignment="1">
      <alignment horizontal="center" vertical="center" wrapText="1"/>
    </xf>
    <xf numFmtId="3" fontId="6" fillId="0" borderId="1" xfId="0" applyNumberFormat="1" applyFont="1" applyFill="1" applyBorder="1" applyAlignment="1">
      <alignment horizontal="center" vertical="center"/>
    </xf>
    <xf numFmtId="0" fontId="7" fillId="0" borderId="1" xfId="0" applyFont="1" applyFill="1" applyBorder="1" applyAlignment="1">
      <alignment horizontal="left" vertical="center"/>
    </xf>
    <xf numFmtId="0" fontId="6" fillId="0" borderId="1" xfId="0" applyFont="1" applyFill="1" applyBorder="1" applyAlignment="1">
      <alignment horizontal="left" vertical="center"/>
    </xf>
    <xf numFmtId="3" fontId="6" fillId="0" borderId="1" xfId="2" applyNumberFormat="1" applyFont="1" applyFill="1" applyBorder="1" applyAlignment="1">
      <alignment horizontal="right" vertical="center"/>
    </xf>
    <xf numFmtId="3" fontId="7" fillId="0" borderId="1" xfId="0" applyNumberFormat="1" applyFont="1" applyFill="1" applyBorder="1" applyAlignment="1">
      <alignment horizontal="center" vertical="center"/>
    </xf>
    <xf numFmtId="3" fontId="7" fillId="0" borderId="1" xfId="0" applyNumberFormat="1" applyFont="1" applyFill="1" applyBorder="1" applyAlignment="1">
      <alignment horizontal="right" vertical="center"/>
    </xf>
    <xf numFmtId="0" fontId="7" fillId="3" borderId="1" xfId="0" applyFont="1" applyFill="1" applyBorder="1" applyAlignment="1">
      <alignment horizontal="left" vertical="center"/>
    </xf>
    <xf numFmtId="0" fontId="7" fillId="3" borderId="1" xfId="0" applyFont="1" applyFill="1" applyBorder="1" applyAlignment="1">
      <alignment horizontal="center" vertical="center"/>
    </xf>
    <xf numFmtId="3" fontId="7" fillId="3" borderId="1" xfId="2" applyNumberFormat="1" applyFont="1" applyFill="1" applyBorder="1" applyAlignment="1">
      <alignment horizontal="center" vertical="center"/>
    </xf>
    <xf numFmtId="4" fontId="7" fillId="3" borderId="1" xfId="2" applyNumberFormat="1" applyFont="1" applyFill="1" applyBorder="1" applyAlignment="1">
      <alignment horizontal="right" vertical="center"/>
    </xf>
  </cellXfs>
  <cellStyles count="4">
    <cellStyle name="Comma" xfId="2" builtinId="3"/>
    <cellStyle name="Normal" xfId="0" builtinId="0"/>
    <cellStyle name="Normal 7" xfId="1" xr:uid="{0579B50A-FDDB-4786-A2F1-7923D60C86C9}"/>
    <cellStyle name="Percent" xfId="3" builtinId="5"/>
  </cellStyles>
  <dxfs count="250">
    <dxf>
      <font>
        <color rgb="FF9C0006"/>
      </font>
      <fill>
        <patternFill>
          <bgColor rgb="FFFFC7CE"/>
        </patternFill>
      </fill>
    </dxf>
    <dxf>
      <font>
        <color rgb="FF9C0006"/>
      </font>
      <fill>
        <patternFill>
          <bgColor rgb="FFFFC7CE"/>
        </patternFill>
      </fill>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font>
        <color theme="0"/>
      </font>
      <fill>
        <patternFill>
          <bgColor theme="8" tint="-0.499984740745262"/>
        </patternFill>
      </fill>
    </dxf>
    <dxf>
      <fill>
        <patternFill>
          <bgColor rgb="FFFF0000"/>
        </patternFill>
      </fill>
    </dxf>
    <dxf>
      <fill>
        <patternFill>
          <bgColor rgb="FFFF0000"/>
        </patternFill>
      </fill>
    </dxf>
    <dxf>
      <numFmt numFmtId="169" formatCode="_-* #,##0_-;\-* #,##0_-;_-* &quot;-&quot;_-;_-@_-"/>
    </dxf>
    <dxf>
      <font>
        <color theme="0"/>
      </font>
      <fill>
        <patternFill>
          <bgColor theme="8" tint="-0.499984740745262"/>
        </patternFill>
      </fill>
    </dxf>
    <dxf>
      <fill>
        <patternFill>
          <bgColor rgb="FFFF0000"/>
        </patternFill>
      </fill>
    </dxf>
    <dxf>
      <fill>
        <patternFill>
          <bgColor rgb="FFFF0000"/>
        </patternFill>
      </fill>
    </dxf>
    <dxf>
      <fill>
        <patternFill>
          <bgColor rgb="FFFF0000"/>
        </patternFill>
      </fill>
    </dxf>
    <dxf>
      <font>
        <b val="0"/>
        <i val="0"/>
        <strike val="0"/>
        <condense val="0"/>
        <extend val="0"/>
        <outline val="0"/>
        <shadow val="0"/>
        <u val="none"/>
        <vertAlign val="baseline"/>
        <sz val="11"/>
        <color theme="1"/>
        <name val="Arial"/>
        <family val="2"/>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justify"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rial"/>
        <family val="2"/>
        <scheme val="none"/>
      </font>
      <fill>
        <patternFill patternType="solid">
          <fgColor indexed="64"/>
          <bgColor theme="3" tint="0.79998168889431442"/>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Narrow"/>
        <family val="2"/>
        <scheme val="none"/>
      </font>
      <numFmt numFmtId="167" formatCode="_-* #,##0.0000000_-;\-* #,##0.0000000_-;_-* &quot;-&quot;??_-;_-@_-"/>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numFmt numFmtId="167" formatCode="_-* #,##0.0000000_-;\-* #,##0.0000000_-;_-* &quot;-&quot;??_-;_-@_-"/>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numFmt numFmtId="167" formatCode="_-* #,##0.0000000_-;\-* #,##0.0000000_-;_-* &quot;-&quot;??_-;_-@_-"/>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numFmt numFmtId="167" formatCode="_-* #,##0.0000000_-;\-* #,##0.0000000_-;_-* &quot;-&quot;??_-;_-@_-"/>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numFmt numFmtId="167" formatCode="_-* #,##0.0000000_-;\-* #,##0.0000000_-;_-* &quot;-&quot;??_-;_-@_-"/>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numFmt numFmtId="167" formatCode="_-* #,##0.0000000_-;\-* #,##0.0000000_-;_-* &quot;-&quot;??_-;_-@_-"/>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Narrow"/>
        <family val="2"/>
        <scheme val="none"/>
      </font>
      <numFmt numFmtId="4"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Narrow"/>
        <family val="2"/>
        <scheme val="none"/>
      </font>
      <numFmt numFmtId="4"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Narrow"/>
        <family val="2"/>
        <scheme val="none"/>
      </font>
      <numFmt numFmtId="4"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Narrow"/>
        <family val="2"/>
        <scheme val="none"/>
      </font>
      <numFmt numFmtId="4" formatCode="#,##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indexed="65"/>
        </patternFill>
      </fill>
      <alignment horizontal="general" vertical="center" textRotation="0" wrapText="1" indent="0" justifyLastLine="0" shrinkToFit="0" readingOrder="0"/>
    </dxf>
    <dxf>
      <border outline="0">
        <top style="hair">
          <color indexed="64"/>
        </top>
      </border>
    </dxf>
    <dxf>
      <border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auto="1"/>
        <name val="Arial Narrow"/>
        <family val="2"/>
        <scheme val="none"/>
      </font>
      <numFmt numFmtId="167" formatCode="_-* #,##0.0000000_-;\-* #,##0.0000000_-;_-* &quot;-&quot;??_-;_-@_-"/>
      <fill>
        <patternFill patternType="none">
          <fgColor indexed="64"/>
          <bgColor indexed="65"/>
        </patternFill>
      </fill>
      <alignment horizontal="general" vertical="center" textRotation="0" wrapText="1" indent="0" justifyLastLine="0" shrinkToFit="0" readingOrder="0"/>
    </dxf>
    <dxf>
      <border outline="0">
        <bottom style="hair">
          <color indexed="64"/>
        </bottom>
      </border>
    </dxf>
    <dxf>
      <font>
        <b val="0"/>
        <i val="0"/>
        <strike val="0"/>
        <condense val="0"/>
        <extend val="0"/>
        <outline val="0"/>
        <shadow val="0"/>
        <u val="none"/>
        <vertAlign val="baseline"/>
        <sz val="11"/>
        <color auto="1"/>
        <name val="Arial Narrow"/>
        <family val="2"/>
        <scheme val="none"/>
      </font>
      <numFmt numFmtId="167" formatCode="_-* #,##0.0000000_-;\-* #,##0.0000000_-;_-* &quot;-&quot;??_-;_-@_-"/>
      <fill>
        <patternFill patternType="none">
          <fgColor indexed="64"/>
          <bgColor indexed="65"/>
        </patternFill>
      </fill>
      <alignment horizontal="general" vertical="center" textRotation="0" wrapText="1"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1"/>
        <color auto="1"/>
        <name val="Arial Narrow"/>
        <family val="2"/>
        <scheme val="none"/>
      </font>
      <numFmt numFmtId="3"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numFmt numFmtId="3"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numFmt numFmtId="3"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numFmt numFmtId="3"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Narrow"/>
        <family val="2"/>
        <scheme val="none"/>
      </font>
      <numFmt numFmtId="3"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Narrow"/>
        <family val="2"/>
        <scheme val="none"/>
      </font>
      <numFmt numFmtId="3"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Narrow"/>
        <family val="2"/>
        <scheme val="none"/>
      </font>
      <numFmt numFmtId="3"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Narrow"/>
        <family val="2"/>
        <scheme val="none"/>
      </font>
      <numFmt numFmtId="3"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Narrow"/>
        <family val="2"/>
        <scheme val="none"/>
      </font>
      <numFmt numFmtId="3"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Narrow"/>
        <family val="2"/>
        <scheme val="none"/>
      </font>
      <numFmt numFmtId="3"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Narrow"/>
        <family val="2"/>
        <scheme val="none"/>
      </font>
      <numFmt numFmtId="3"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Narrow"/>
        <family val="2"/>
        <scheme val="none"/>
      </font>
      <numFmt numFmtId="3"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Narrow"/>
        <family val="2"/>
        <scheme val="none"/>
      </font>
      <numFmt numFmtId="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Narrow"/>
        <family val="2"/>
        <scheme val="none"/>
      </font>
      <numFmt numFmtId="3"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Narrow"/>
        <family val="2"/>
        <scheme val="none"/>
      </font>
      <numFmt numFmtId="3"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Narrow"/>
        <family val="2"/>
        <scheme val="none"/>
      </font>
      <numFmt numFmtId="3"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Narrow"/>
        <family val="2"/>
        <scheme val="none"/>
      </font>
      <numFmt numFmtId="3"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1"/>
        <color auto="1"/>
        <name val="Arial Narrow"/>
        <family val="2"/>
        <scheme val="none"/>
      </font>
      <fill>
        <patternFill patternType="none">
          <fgColor indexed="64"/>
          <bgColor auto="1"/>
        </patternFill>
      </fill>
      <alignment horizontal="general" vertical="center" textRotation="0" wrapText="0" indent="0" justifyLastLine="0" shrinkToFit="0" readingOrder="0"/>
    </dxf>
    <dxf>
      <font>
        <b/>
        <i val="0"/>
        <strike val="0"/>
        <condense val="0"/>
        <extend val="0"/>
        <outline val="0"/>
        <shadow val="0"/>
        <u val="none"/>
        <vertAlign val="baseline"/>
        <sz val="11"/>
        <color auto="1"/>
        <name val="Arial Narrow"/>
        <family val="2"/>
        <scheme val="none"/>
      </font>
      <fill>
        <patternFill patternType="none">
          <fgColor indexed="64"/>
          <bgColor auto="1"/>
        </patternFill>
      </fill>
      <alignment horizontal="general" vertical="center" textRotation="0" wrapText="0" indent="0" justifyLastLine="0" shrinkToFit="0" readingOrder="0"/>
    </dxf>
    <dxf>
      <font>
        <b/>
        <i val="0"/>
        <strike val="0"/>
        <condense val="0"/>
        <extend val="0"/>
        <outline val="0"/>
        <shadow val="0"/>
        <u val="none"/>
        <vertAlign val="baseline"/>
        <sz val="11"/>
        <color auto="1"/>
        <name val="Arial Narrow"/>
        <family val="2"/>
        <scheme val="none"/>
      </font>
      <fill>
        <patternFill patternType="none">
          <fgColor indexed="64"/>
          <bgColor auto="1"/>
        </patternFill>
      </fill>
      <alignment horizontal="general" vertical="center" textRotation="0" wrapText="0" indent="0" justifyLastLine="0" shrinkToFit="0" readingOrder="0"/>
    </dxf>
    <dxf>
      <font>
        <b/>
        <i val="0"/>
        <strike val="0"/>
        <condense val="0"/>
        <extend val="0"/>
        <outline val="0"/>
        <shadow val="0"/>
        <u val="none"/>
        <vertAlign val="baseline"/>
        <sz val="11"/>
        <color auto="1"/>
        <name val="Arial Narrow"/>
        <family val="2"/>
        <scheme val="none"/>
      </font>
      <numFmt numFmtId="14" formatCode="0.00%"/>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auto="1"/>
        <name val="Arial Narrow"/>
        <family val="2"/>
        <scheme val="none"/>
      </font>
      <fill>
        <patternFill patternType="none">
          <fgColor indexed="64"/>
          <bgColor auto="1"/>
        </patternFill>
      </fill>
    </dxf>
    <dxf>
      <font>
        <strike val="0"/>
        <outline val="0"/>
        <shadow val="0"/>
        <u val="none"/>
        <vertAlign val="baseline"/>
        <sz val="11"/>
        <color auto="1"/>
        <name val="Arial Narrow"/>
        <family val="2"/>
        <scheme val="none"/>
      </font>
      <fill>
        <patternFill patternType="none">
          <fgColor indexed="64"/>
          <bgColor auto="1"/>
        </patternFill>
      </fill>
    </dxf>
    <dxf>
      <font>
        <b/>
        <i val="0"/>
        <strike val="0"/>
        <condense val="0"/>
        <extend val="0"/>
        <outline val="0"/>
        <shadow val="0"/>
        <u val="none"/>
        <vertAlign val="baseline"/>
        <sz val="11"/>
        <color auto="1"/>
        <name val="Arial Narrow"/>
        <family val="2"/>
        <scheme val="none"/>
      </font>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auto="1"/>
        <name val="Arial Narrow"/>
        <family val="2"/>
        <scheme val="none"/>
      </font>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auto="1"/>
        <name val="Arial Narrow"/>
        <family val="2"/>
        <scheme val="none"/>
      </font>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auto="1"/>
        <name val="Arial Narrow"/>
        <family val="2"/>
        <scheme val="none"/>
      </font>
      <numFmt numFmtId="14" formatCode="0.00%"/>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1"/>
        <color auto="1"/>
        <name val="Arial Narrow"/>
        <family val="2"/>
        <scheme val="none"/>
      </font>
      <numFmt numFmtId="14" formatCode="0.00%"/>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1"/>
        <color auto="1"/>
        <name val="Arial Narrow"/>
        <family val="2"/>
        <scheme val="none"/>
      </font>
      <numFmt numFmtId="14" formatCode="0.00%"/>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auto="1"/>
        <name val="Arial Narrow"/>
        <family val="2"/>
        <scheme val="none"/>
      </font>
      <fill>
        <patternFill patternType="none">
          <fgColor indexed="64"/>
          <bgColor auto="1"/>
        </patternFill>
      </fill>
    </dxf>
    <dxf>
      <font>
        <b val="0"/>
        <i val="0"/>
        <strike val="0"/>
        <condense val="0"/>
        <extend val="0"/>
        <outline val="0"/>
        <shadow val="0"/>
        <u val="none"/>
        <vertAlign val="baseline"/>
        <sz val="11"/>
        <color auto="1"/>
        <name val="Arial Narrow"/>
        <family val="2"/>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auto="1"/>
        <name val="Arial Narrow"/>
        <family val="2"/>
        <scheme val="none"/>
      </font>
      <fill>
        <patternFill patternType="none">
          <fgColor indexed="64"/>
          <bgColor auto="1"/>
        </patternFill>
      </fill>
    </dxf>
    <dxf>
      <font>
        <strike val="0"/>
        <outline val="0"/>
        <shadow val="0"/>
        <u val="none"/>
        <vertAlign val="baseline"/>
        <sz val="11"/>
        <color auto="1"/>
        <name val="Arial Narrow"/>
        <family val="2"/>
        <scheme val="none"/>
      </font>
      <fill>
        <patternFill patternType="none">
          <fgColor indexed="64"/>
          <bgColor auto="1"/>
        </patternFill>
      </fill>
    </dxf>
    <dxf>
      <font>
        <b val="0"/>
        <i val="0"/>
        <strike val="0"/>
        <condense val="0"/>
        <extend val="0"/>
        <outline val="0"/>
        <shadow val="0"/>
        <u val="none"/>
        <vertAlign val="baseline"/>
        <sz val="11"/>
        <color auto="1"/>
        <name val="Arial Narrow"/>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Narrow"/>
        <family val="2"/>
        <scheme val="none"/>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Narrow"/>
        <family val="2"/>
        <scheme val="none"/>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Narrow"/>
        <family val="2"/>
        <scheme val="none"/>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Narrow"/>
        <family val="2"/>
        <scheme val="none"/>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Narrow"/>
        <family val="2"/>
        <scheme val="none"/>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Arial Narrow"/>
        <family val="2"/>
        <scheme val="none"/>
      </font>
      <numFmt numFmtId="4" formatCode="#,##0.00"/>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numFmt numFmtId="3" formatCode="#,##0"/>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Narrow"/>
        <family val="2"/>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auto="1"/>
        <name val="Arial Narrow"/>
        <family val="2"/>
        <scheme val="none"/>
      </font>
      <fill>
        <patternFill patternType="none">
          <fgColor indexed="64"/>
          <bgColor auto="1"/>
        </patternFill>
      </fill>
    </dxf>
    <dxf>
      <font>
        <strike val="0"/>
        <outline val="0"/>
        <shadow val="0"/>
        <u val="none"/>
        <vertAlign val="baseline"/>
        <sz val="11"/>
        <color auto="1"/>
        <name val="Arial Narrow"/>
        <family val="2"/>
        <scheme val="none"/>
      </font>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Narrow"/>
        <family val="2"/>
        <scheme val="none"/>
      </font>
      <fill>
        <patternFill patternType="none">
          <fgColor indexed="64"/>
          <bgColor auto="1"/>
        </patternFill>
      </fill>
    </dxf>
    <dxf>
      <font>
        <b/>
        <i val="0"/>
        <strike val="0"/>
        <condense val="0"/>
        <extend val="0"/>
        <outline val="0"/>
        <shadow val="0"/>
        <u val="none"/>
        <vertAlign val="baseline"/>
        <sz val="11"/>
        <color auto="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right"/>
    </dxf>
    <dxf>
      <alignment wrapText="1"/>
    </dxf>
    <dxf>
      <alignment horizontal="general"/>
    </dxf>
    <dxf>
      <alignment horizontal="right"/>
    </dxf>
    <dxf>
      <alignment horizontal="right"/>
    </dxf>
    <dxf>
      <alignment wrapText="1"/>
    </dxf>
    <dxf>
      <alignment wrapText="1"/>
    </dxf>
    <dxf>
      <alignment wrapText="1"/>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vertical="center"/>
    </dxf>
    <dxf>
      <alignment vertical="center"/>
    </dxf>
    <dxf>
      <alignment vertical="center"/>
    </dxf>
    <dxf>
      <alignment vertical="center"/>
    </dxf>
    <dxf>
      <alignment vertical="center"/>
    </dxf>
    <dxf>
      <alignment horizontal="right"/>
    </dxf>
    <dxf>
      <alignment horizontal="right"/>
    </dxf>
    <dxf>
      <alignment wrapText="1"/>
    </dxf>
    <dxf>
      <alignment wrapText="1"/>
    </dxf>
    <dxf>
      <numFmt numFmtId="164" formatCode="_-* #,##0.00_-;\-* #,##0.00_-;_-* &quot;-&quot;??_-;_-@_-"/>
    </dxf>
    <dxf>
      <alignment horizontal="general"/>
    </dxf>
    <dxf>
      <alignment horizontal="general"/>
    </dxf>
    <dxf>
      <alignment horizontal="right"/>
    </dxf>
    <dxf>
      <alignment horizontal="right"/>
    </dxf>
    <dxf>
      <alignment horizontal="right"/>
    </dxf>
    <dxf>
      <alignment wrapText="1"/>
    </dxf>
    <dxf>
      <alignment wrapText="1"/>
    </dxf>
    <dxf>
      <alignment wrapText="1"/>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vertical="center"/>
    </dxf>
    <dxf>
      <alignment vertical="center"/>
    </dxf>
    <dxf>
      <alignment vertical="center"/>
    </dxf>
    <dxf>
      <alignment vertical="center"/>
    </dxf>
    <dxf>
      <alignment vertical="center"/>
    </dxf>
    <dxf>
      <alignment horizontal="right"/>
    </dxf>
    <dxf>
      <alignment horizontal="right"/>
    </dxf>
    <dxf>
      <alignment wrapText="1"/>
    </dxf>
    <dxf>
      <alignment wrapText="1"/>
    </dxf>
    <dxf>
      <numFmt numFmtId="164" formatCode="_-* #,##0.00_-;\-* #,##0.00_-;_-* &quot;-&quot;??_-;_-@_-"/>
    </dxf>
    <dxf>
      <alignment horizontal="general"/>
    </dxf>
    <dxf>
      <alignment horizontal="general"/>
    </dxf>
    <dxf>
      <alignment horizontal="right"/>
    </dxf>
    <dxf>
      <alignment horizontal="right"/>
    </dxf>
    <dxf>
      <alignment horizontal="right"/>
    </dxf>
    <dxf>
      <alignment wrapText="1"/>
    </dxf>
    <dxf>
      <alignment wrapText="1"/>
    </dxf>
    <dxf>
      <alignment wrapText="1"/>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vertical="center"/>
    </dxf>
    <dxf>
      <alignment vertical="center"/>
    </dxf>
    <dxf>
      <alignment vertical="center"/>
    </dxf>
    <dxf>
      <alignment vertical="center"/>
    </dxf>
    <dxf>
      <alignment vertical="center"/>
    </dxf>
    <dxf>
      <alignment vertical="center"/>
    </dxf>
    <dxf>
      <alignment horizontal="right"/>
    </dxf>
    <dxf>
      <alignment horizontal="right"/>
    </dxf>
    <dxf>
      <alignment wrapText="1"/>
    </dxf>
    <dxf>
      <alignment wrapText="1"/>
    </dxf>
    <dxf>
      <numFmt numFmtId="164" formatCode="_-* #,##0.00_-;\-* #,##0.00_-;_-* &quot;-&quot;??_-;_-@_-"/>
    </dxf>
    <dxf>
      <alignment horizontal="general"/>
    </dxf>
    <dxf>
      <alignment horizontal="general"/>
    </dxf>
    <dxf>
      <alignment horizontal="right"/>
    </dxf>
    <dxf>
      <alignment horizontal="right"/>
    </dxf>
    <dxf>
      <alignment horizontal="right"/>
    </dxf>
    <dxf>
      <alignment wrapText="1"/>
    </dxf>
    <dxf>
      <alignment wrapText="1"/>
    </dxf>
    <dxf>
      <alignment wrapText="1"/>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vertical="center"/>
    </dxf>
    <dxf>
      <alignment vertical="center"/>
    </dxf>
    <dxf>
      <alignment vertical="center"/>
    </dxf>
    <dxf>
      <alignment vertical="center"/>
    </dxf>
    <dxf>
      <alignment vertical="center"/>
    </dxf>
    <dxf>
      <alignment vertical="center"/>
    </dxf>
    <dxf>
      <alignment horizontal="right"/>
    </dxf>
    <dxf>
      <alignment horizontal="right"/>
    </dxf>
    <dxf>
      <alignment wrapText="1"/>
    </dxf>
    <dxf>
      <alignment wrapText="1"/>
    </dxf>
    <dxf>
      <numFmt numFmtId="164" formatCode="_-* #,##0.00_-;\-* #,##0.00_-;_-* &quot;-&quot;??_-;_-@_-"/>
    </dxf>
    <dxf>
      <alignment horizontal="right"/>
    </dxf>
    <dxf>
      <alignment horizontal="right"/>
    </dxf>
    <dxf>
      <alignment wrapText="1"/>
    </dxf>
    <dxf>
      <alignment wrapText="1"/>
    </dxf>
    <dxf>
      <alignment horizontal="left"/>
    </dxf>
    <dxf>
      <alignment horizontal="left"/>
    </dxf>
    <dxf>
      <numFmt numFmtId="164" formatCode="_-* #,##0.00_-;\-* #,##0.00_-;_-* &quot;-&quot;??_-;_-@_-"/>
    </dxf>
    <dxf>
      <alignment vertical="center"/>
    </dxf>
    <dxf>
      <alignment vertical="center"/>
    </dxf>
    <dxf>
      <alignment vertical="center"/>
    </dxf>
    <dxf>
      <alignment vertical="center"/>
    </dxf>
    <dxf>
      <alignment vertical="center"/>
    </dxf>
    <dxf>
      <alignment horizontal="righ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horizontal="left"/>
    </dxf>
    <dxf>
      <alignment horizontal="right"/>
    </dxf>
    <dxf>
      <alignment wrapText="1"/>
    </dxf>
    <dxf>
      <alignment wrapText="1"/>
    </dxf>
    <dxf>
      <numFmt numFmtId="164" formatCode="_-* #,##0.00_-;\-* #,##0.00_-;_-* &quot;-&quot;??_-;_-@_-"/>
    </dxf>
    <dxf>
      <alignment vertical="center"/>
    </dxf>
    <dxf>
      <alignment wrapText="1"/>
    </dxf>
    <dxf>
      <alignment wrapText="1"/>
    </dxf>
    <dxf>
      <alignment horizontal="right"/>
    </dxf>
    <dxf>
      <alignment horizontal="right"/>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BZunguze\AppData\Local\Packages\microsoft.windowscommunicationsapps_8wekyb3d8bbwe\LocalState\Files\S0\95\Attachments\COST_TABS_CRI_after_IFAD_inputs%5b6690%5d.xlsx%5d.xlsx%5d.xlsx%5d.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Zunguze" refreshedDate="44745.849457175929" createdVersion="8" refreshedVersion="8" minRefreshableVersion="3" recordCount="64" xr:uid="{B0944C68-9252-4A57-9C7C-958822B8C708}">
  <cacheSource type="worksheet">
    <worksheetSource name="Table2"/>
  </cacheSource>
  <cacheFields count="4">
    <cacheField name="Commodity" numFmtId="0">
      <sharedItems count="5">
        <s v="Irish Potato"/>
        <s v="Chicken"/>
        <s v="Cassava"/>
        <s v="Onion"/>
        <s v="Sweet potato"/>
      </sharedItems>
    </cacheField>
    <cacheField name="District" numFmtId="0">
      <sharedItems count="27">
        <s v="Moamba"/>
        <s v="Matutuíne"/>
        <s v="Boane"/>
        <s v="Namaacha"/>
        <s v="Massinga"/>
        <s v="Vilankulo"/>
        <s v="Chókwè"/>
        <s v="Guijá"/>
        <s v="Chibuto"/>
        <s v="Sanga"/>
        <s v="Muembe"/>
        <s v="Ngauma"/>
        <s v="Chimbunila"/>
        <s v="Bilene"/>
        <s v="Mapai"/>
        <s v="Mandlakazi"/>
        <s v="Mabalane"/>
        <s v="Govuro"/>
        <s v="Mabote"/>
        <s v="Funhalouro"/>
        <s v="Zavala"/>
        <s v="Jangamo"/>
        <s v="Cuamba"/>
        <s v="Mecanhelas"/>
        <s v="Inharrime"/>
        <s v="Morrumbene"/>
        <s v="Homoíne"/>
      </sharedItems>
    </cacheField>
    <cacheField name="PROCAVA" numFmtId="0">
      <sharedItems containsNonDate="0" containsString="0" containsBlank="1"/>
    </cacheField>
    <cacheField name="Beneficiari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Zunguze" refreshedDate="44746.993883796298" createdVersion="8" refreshedVersion="8" minRefreshableVersion="3" recordCount="38" xr:uid="{8F8C1D4F-E311-49A5-BD2A-8A23F3CD95FE}">
  <cacheSource type="worksheet">
    <worksheetSource ref="A4:X48" sheet=".xlsx].xlsx].xlsx].xlsx]MADER" r:id="rId2"/>
  </cacheSource>
  <cacheFields count="19">
    <cacheField name="ID" numFmtId="0">
      <sharedItems containsBlank="1" containsMixedTypes="1" containsNumber="1" containsInteger="1" minValue="1" maxValue="5"/>
    </cacheField>
    <cacheField name="Activity" numFmtId="0">
      <sharedItems containsBlank="1"/>
    </cacheField>
    <cacheField name="Indicator" numFmtId="0">
      <sharedItems containsBlank="1"/>
    </cacheField>
    <cacheField name="Units" numFmtId="0">
      <sharedItems/>
    </cacheField>
    <cacheField name="Freq." numFmtId="0">
      <sharedItems containsString="0" containsBlank="1" containsNumber="1" containsInteger="1" minValue="1" maxValue="3"/>
    </cacheField>
    <cacheField name="Quantity" numFmtId="0">
      <sharedItems containsString="0" containsBlank="1" containsNumber="1" containsInteger="1" minValue="1" maxValue="10000000"/>
    </cacheField>
    <cacheField name="Unit Price (MZN)" numFmtId="0">
      <sharedItems containsString="0" containsBlank="1" containsNumber="1" minValue="0.75" maxValue="3000000"/>
    </cacheField>
    <cacheField name="Cost" numFmtId="164">
      <sharedItems containsSemiMixedTypes="0" containsString="0" containsNumber="1" minValue="0" maxValue="378907.48342279758"/>
    </cacheField>
    <cacheField name="Priority" numFmtId="164">
      <sharedItems containsBlank="1"/>
    </cacheField>
    <cacheField name="Geographical Distribution, ex. Mapai (22), Mabalane (16)" numFmtId="0">
      <sharedItems containsNonDate="0" containsString="0" containsBlank="1"/>
    </cacheField>
    <cacheField name="Comments" numFmtId="0">
      <sharedItems containsNonDate="0" containsString="0" containsBlank="1"/>
    </cacheField>
    <cacheField name="Component" numFmtId="0">
      <sharedItems containsBlank="1" count="5">
        <m/>
        <s v="Subcomponent 1 - Access to affordable and basic assets"/>
        <s v="Subcomponent 2 - Small Scale Infrastructure and Equipment"/>
        <s v="Subcomponent 3 - Access to short-term finance"/>
        <s v="Subcomponent 4 - Project Management and Oversight"/>
      </sharedItems>
    </cacheField>
    <cacheField name="Category" numFmtId="0">
      <sharedItems containsBlank="1" count="5">
        <m/>
        <s v="Goods"/>
        <s v="Works"/>
        <s v="Funds"/>
        <s v="Consultancies, Trainings and Services"/>
      </sharedItems>
    </cacheField>
    <cacheField name="CRI (%)" numFmtId="10">
      <sharedItems containsString="0" containsBlank="1" containsNumber="1" minValue="0.8" maxValue="1"/>
    </cacheField>
    <cacheField name="Government (%)" numFmtId="10">
      <sharedItems containsString="0" containsBlank="1" containsNumber="1" minValue="0.2" maxValue="0.2"/>
    </cacheField>
    <cacheField name="Beneficiaries (%)" numFmtId="10">
      <sharedItems containsString="0" containsBlank="1" containsNumber="1" minValue="0.1" maxValue="0.2"/>
    </cacheField>
    <cacheField name="CRI (MZN)" numFmtId="164">
      <sharedItems containsSemiMixedTypes="0" containsString="0" containsNumber="1" minValue="0" maxValue="341016.73508051783"/>
    </cacheField>
    <cacheField name="Government (MZN)" numFmtId="164">
      <sharedItems containsSemiMixedTypes="0" containsString="0" containsNumber="1" minValue="0" maxValue="6315.124723713293"/>
    </cacheField>
    <cacheField name="Beneficiaries (MZN)" numFmtId="164">
      <sharedItems containsSemiMixedTypes="0" containsString="0" containsNumber="1" minValue="0" maxValue="37890.7483422797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Zunguze" refreshedDate="44753.704843055559" createdVersion="8" refreshedVersion="8" minRefreshableVersion="3" recordCount="44" xr:uid="{77FFD392-1D90-4EBF-BA1F-279091546E8D}">
  <cacheSource type="worksheet">
    <worksheetSource name="Table3"/>
  </cacheSource>
  <cacheFields count="55">
    <cacheField name="ID" numFmtId="0">
      <sharedItems containsBlank="1" containsMixedTypes="1" containsNumber="1" containsInteger="1" minValue="1" maxValue="9"/>
    </cacheField>
    <cacheField name="Activity" numFmtId="0">
      <sharedItems containsBlank="1"/>
    </cacheField>
    <cacheField name="comps" numFmtId="0">
      <sharedItems containsBlank="1" count="3">
        <m/>
        <s v="Access to affordable inputs and basic assets"/>
        <s v="Access to short-term finance"/>
      </sharedItems>
    </cacheField>
    <cacheField name="Indicator" numFmtId="0">
      <sharedItems containsBlank="1"/>
    </cacheField>
    <cacheField name="Units" numFmtId="0">
      <sharedItems/>
    </cacheField>
    <cacheField name="Freq." numFmtId="0">
      <sharedItems containsString="0" containsBlank="1" containsNumber="1" containsInteger="1" minValue="1" maxValue="1"/>
    </cacheField>
    <cacheField name="Quantity" numFmtId="3">
      <sharedItems containsString="0" containsBlank="1" containsNumber="1" containsInteger="1" minValue="1" maxValue="7000000"/>
    </cacheField>
    <cacheField name="Unit Price (MZN)" numFmtId="4">
      <sharedItems containsString="0" containsBlank="1" containsNumber="1" minValue="0.75" maxValue="2578062.5"/>
    </cacheField>
    <cacheField name="Cost" numFmtId="4">
      <sharedItems containsString="0" containsBlank="1" containsNumber="1" minValue="0" maxValue="773602.77865487838"/>
    </cacheField>
    <cacheField name="TOTAL PROJECT COST (US$)" numFmtId="4">
      <sharedItems containsSemiMixedTypes="0" containsString="0" containsNumber="1" minValue="0" maxValue="1667831.7860550538"/>
    </cacheField>
    <cacheField name="CRI Financing (US$)" numFmtId="4">
      <sharedItems containsSemiMixedTypes="0" containsString="0" containsNumber="1" minValue="0" maxValue="1555099.4632143984"/>
    </cacheField>
    <cacheField name="GoM (US$)" numFmtId="4">
      <sharedItems containsString="0" containsBlank="1" containsNumber="1" minValue="36.005584938427539" maxValue="141315.68041485819"/>
    </cacheField>
    <cacheField name="Beneficiaries (US$)" numFmtId="4">
      <sharedItems containsString="0" containsBlank="1" containsNumber="1" minValue="36.005584938427539" maxValue="73579.101377486586"/>
    </cacheField>
    <cacheField name="Priority" numFmtId="0">
      <sharedItems containsBlank="1" count="2">
        <m/>
        <s v="High"/>
      </sharedItems>
    </cacheField>
    <cacheField name="Geographical Distribution, ex. Mapai (22), Mabalane (16)" numFmtId="0">
      <sharedItems containsString="0" containsBlank="1" containsNumber="1" containsInteger="1" minValue="0" maxValue="0"/>
    </cacheField>
    <cacheField name="Comments" numFmtId="0">
      <sharedItems containsNonDate="0" containsString="0" containsBlank="1"/>
    </cacheField>
    <cacheField name="Component" numFmtId="0">
      <sharedItems containsBlank="1"/>
    </cacheField>
    <cacheField name="Category" numFmtId="0">
      <sharedItems containsBlank="1" count="5">
        <m/>
        <s v="Equipment and Materials"/>
        <s v="Consultancies, Trainings and Services"/>
        <s v="Operating Costs"/>
        <s v="Funds"/>
      </sharedItems>
    </cacheField>
    <cacheField name="CRI (%)" numFmtId="0">
      <sharedItems containsString="0" containsBlank="1" containsNumber="1" minValue="0" maxValue="1"/>
    </cacheField>
    <cacheField name="Government (%)" numFmtId="0">
      <sharedItems containsString="0" containsBlank="1" containsNumber="1" minValue="0" maxValue="0.59782495632109567"/>
    </cacheField>
    <cacheField name="Beneficiaries (%)" numFmtId="0">
      <sharedItems containsString="0" containsBlank="1" containsNumber="1" minValue="0" maxValue="0.15384615384615383"/>
    </cacheField>
    <cacheField name="CRI (MZN)" numFmtId="0">
      <sharedItems containsSemiMixedTypes="0" containsString="0" containsNumber="1" minValue="0" maxValue="1555099.4632143984"/>
    </cacheField>
    <cacheField name="Government (MZN)" numFmtId="0">
      <sharedItems containsSemiMixedTypes="0" containsString="0" containsNumber="1" minValue="0" maxValue="141315.68041485819"/>
    </cacheField>
    <cacheField name="Beneficiaries (MZN)" numFmtId="0">
      <sharedItems containsSemiMixedTypes="0" containsString="0" containsNumber="1" minValue="0" maxValue="73579.101377486571"/>
    </cacheField>
    <cacheField name="REFP (%)" numFmtId="0">
      <sharedItems containsString="0" containsBlank="1" containsNumber="1" containsInteger="1" minValue="1" maxValue="3"/>
    </cacheField>
    <cacheField name="PROCAVA (%)" numFmtId="0">
      <sharedItems containsString="0" containsBlank="1" containsNumber="1" containsInteger="1" minValue="0" maxValue="1"/>
    </cacheField>
    <cacheField name="PRODAPE (%)" numFmtId="0">
      <sharedItems containsString="0" containsBlank="1" containsNumber="1" containsInteger="1" minValue="0" maxValue="1"/>
    </cacheField>
    <cacheField name="REFP (US$)" numFmtId="0">
      <sharedItems containsSemiMixedTypes="0" containsString="0" containsNumber="1" minValue="0" maxValue="1002526.0498894854"/>
    </cacheField>
    <cacheField name="PROCAVA  (US$)" numFmtId="0">
      <sharedItems containsSemiMixedTypes="0" containsString="0" containsNumber="1" minValue="0" maxValue="1001539.3116514051"/>
    </cacheField>
    <cacheField name="PRODAPE  (US$)" numFmtId="0">
      <sharedItems containsSemiMixedTypes="0" containsString="0" containsNumber="1" minValue="0" maxValue="552573.41332491313"/>
    </cacheField>
    <cacheField name="Jan" numFmtId="0">
      <sharedItems containsString="0" containsBlank="1" containsNumber="1" containsInteger="1" minValue="0" maxValue="0"/>
    </cacheField>
    <cacheField name="Feb" numFmtId="0">
      <sharedItems containsString="0" containsBlank="1" containsNumber="1" containsInteger="1" minValue="0" maxValue="0"/>
    </cacheField>
    <cacheField name="Mar" numFmtId="0">
      <sharedItems containsString="0" containsBlank="1" containsNumber="1" containsInteger="1" minValue="0" maxValue="0"/>
    </cacheField>
    <cacheField name="Apr" numFmtId="0">
      <sharedItems containsString="0" containsBlank="1" containsNumber="1" containsInteger="1" minValue="0" maxValue="0"/>
    </cacheField>
    <cacheField name="May" numFmtId="0">
      <sharedItems containsString="0" containsBlank="1" containsNumber="1" containsInteger="1" minValue="0" maxValue="0"/>
    </cacheField>
    <cacheField name="Jun" numFmtId="0">
      <sharedItems containsString="0" containsBlank="1" containsNumber="1" containsInteger="1" minValue="0" maxValue="0"/>
    </cacheField>
    <cacheField name="Jul" numFmtId="0">
      <sharedItems containsString="0" containsBlank="1" containsNumber="1" containsInteger="1" minValue="0" maxValue="0"/>
    </cacheField>
    <cacheField name="Ago" numFmtId="0">
      <sharedItems containsString="0" containsBlank="1" containsNumber="1" containsInteger="1" minValue="0" maxValue="0"/>
    </cacheField>
    <cacheField name="Sep" numFmtId="0">
      <sharedItems containsString="0" containsBlank="1" containsNumber="1" containsInteger="1" minValue="500000" maxValue="500000"/>
    </cacheField>
    <cacheField name="Oct" numFmtId="0">
      <sharedItems containsString="0" containsBlank="1" containsNumber="1" containsInteger="1" minValue="300000" maxValue="300000"/>
    </cacheField>
    <cacheField name="Nov" numFmtId="0">
      <sharedItems containsString="0" containsBlank="1" containsNumber="1" containsInteger="1" minValue="0" maxValue="15"/>
    </cacheField>
    <cacheField name="Dec" numFmtId="0">
      <sharedItems containsString="0" containsBlank="1" containsNumber="1" containsInteger="1" minValue="1" maxValue="18"/>
    </cacheField>
    <cacheField name="Column1" numFmtId="0">
      <sharedItems containsNonDate="0" containsString="0" containsBlank="1"/>
    </cacheField>
    <cacheField name=" Jan" numFmtId="0">
      <sharedItems containsString="0" containsBlank="1" containsNumber="1" containsInteger="1" minValue="0" maxValue="300"/>
    </cacheField>
    <cacheField name=" Feb" numFmtId="0">
      <sharedItems containsString="0" containsBlank="1" containsNumber="1" containsInteger="1" minValue="0" maxValue="20"/>
    </cacheField>
    <cacheField name=" Mar" numFmtId="0">
      <sharedItems containsString="0" containsBlank="1" containsNumber="1" containsInteger="1" minValue="0" maxValue="1500"/>
    </cacheField>
    <cacheField name=" Apr" numFmtId="0">
      <sharedItems containsString="0" containsBlank="1" containsNumber="1" containsInteger="1" minValue="11" maxValue="1500"/>
    </cacheField>
    <cacheField name=" May" numFmtId="0">
      <sharedItems containsString="0" containsBlank="1" containsNumber="1" containsInteger="1" minValue="1" maxValue="60"/>
    </cacheField>
    <cacheField name=" Jun" numFmtId="0">
      <sharedItems containsString="0" containsBlank="1" containsNumber="1" containsInteger="1" minValue="5" maxValue="18750"/>
    </cacheField>
    <cacheField name=" Jul" numFmtId="0">
      <sharedItems containsString="0" containsBlank="1" containsNumber="1" containsInteger="1" minValue="1000" maxValue="5000000"/>
    </cacheField>
    <cacheField name=" Ago" numFmtId="0">
      <sharedItems containsString="0" containsBlank="1" containsNumber="1" containsInteger="1" minValue="30000" maxValue="3000000"/>
    </cacheField>
    <cacheField name=" Sep" numFmtId="3">
      <sharedItems containsNonDate="0" containsString="0" containsBlank="1"/>
    </cacheField>
    <cacheField name=" Oct" numFmtId="3">
      <sharedItems containsNonDate="0" containsString="0" containsBlank="1"/>
    </cacheField>
    <cacheField name=" Nov" numFmtId="3">
      <sharedItems containsNonDate="0" containsString="0" containsBlank="1"/>
    </cacheField>
    <cacheField name=" Dec" numFmtId="3">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m/>
    <m/>
  </r>
  <r>
    <x v="0"/>
    <x v="1"/>
    <m/>
    <m/>
  </r>
  <r>
    <x v="0"/>
    <x v="2"/>
    <m/>
    <m/>
  </r>
  <r>
    <x v="0"/>
    <x v="3"/>
    <m/>
    <m/>
  </r>
  <r>
    <x v="0"/>
    <x v="4"/>
    <m/>
    <m/>
  </r>
  <r>
    <x v="0"/>
    <x v="5"/>
    <m/>
    <m/>
  </r>
  <r>
    <x v="0"/>
    <x v="6"/>
    <m/>
    <m/>
  </r>
  <r>
    <x v="0"/>
    <x v="7"/>
    <m/>
    <m/>
  </r>
  <r>
    <x v="0"/>
    <x v="8"/>
    <m/>
    <m/>
  </r>
  <r>
    <x v="0"/>
    <x v="9"/>
    <m/>
    <m/>
  </r>
  <r>
    <x v="0"/>
    <x v="10"/>
    <m/>
    <m/>
  </r>
  <r>
    <x v="0"/>
    <x v="11"/>
    <m/>
    <m/>
  </r>
  <r>
    <x v="0"/>
    <x v="12"/>
    <m/>
    <m/>
  </r>
  <r>
    <x v="1"/>
    <x v="13"/>
    <m/>
    <m/>
  </r>
  <r>
    <x v="1"/>
    <x v="14"/>
    <m/>
    <m/>
  </r>
  <r>
    <x v="1"/>
    <x v="15"/>
    <m/>
    <m/>
  </r>
  <r>
    <x v="1"/>
    <x v="16"/>
    <m/>
    <m/>
  </r>
  <r>
    <x v="1"/>
    <x v="17"/>
    <m/>
    <m/>
  </r>
  <r>
    <x v="1"/>
    <x v="18"/>
    <m/>
    <m/>
  </r>
  <r>
    <x v="1"/>
    <x v="19"/>
    <m/>
    <m/>
  </r>
  <r>
    <x v="1"/>
    <x v="4"/>
    <m/>
    <m/>
  </r>
  <r>
    <x v="1"/>
    <x v="20"/>
    <m/>
    <m/>
  </r>
  <r>
    <x v="1"/>
    <x v="21"/>
    <m/>
    <m/>
  </r>
  <r>
    <x v="1"/>
    <x v="22"/>
    <m/>
    <m/>
  </r>
  <r>
    <x v="1"/>
    <x v="23"/>
    <m/>
    <m/>
  </r>
  <r>
    <x v="1"/>
    <x v="11"/>
    <m/>
    <m/>
  </r>
  <r>
    <x v="2"/>
    <x v="15"/>
    <m/>
    <m/>
  </r>
  <r>
    <x v="2"/>
    <x v="20"/>
    <m/>
    <m/>
  </r>
  <r>
    <x v="2"/>
    <x v="24"/>
    <m/>
    <m/>
  </r>
  <r>
    <x v="2"/>
    <x v="21"/>
    <m/>
    <m/>
  </r>
  <r>
    <x v="2"/>
    <x v="25"/>
    <m/>
    <m/>
  </r>
  <r>
    <x v="2"/>
    <x v="4"/>
    <m/>
    <m/>
  </r>
  <r>
    <x v="2"/>
    <x v="26"/>
    <m/>
    <m/>
  </r>
  <r>
    <x v="3"/>
    <x v="0"/>
    <m/>
    <m/>
  </r>
  <r>
    <x v="3"/>
    <x v="2"/>
    <m/>
    <m/>
  </r>
  <r>
    <x v="3"/>
    <x v="3"/>
    <m/>
    <m/>
  </r>
  <r>
    <x v="3"/>
    <x v="7"/>
    <m/>
    <m/>
  </r>
  <r>
    <x v="3"/>
    <x v="6"/>
    <m/>
    <m/>
  </r>
  <r>
    <x v="3"/>
    <x v="4"/>
    <m/>
    <m/>
  </r>
  <r>
    <x v="3"/>
    <x v="12"/>
    <m/>
    <m/>
  </r>
  <r>
    <x v="3"/>
    <x v="10"/>
    <m/>
    <m/>
  </r>
  <r>
    <x v="3"/>
    <x v="9"/>
    <m/>
    <m/>
  </r>
  <r>
    <x v="4"/>
    <x v="1"/>
    <m/>
    <m/>
  </r>
  <r>
    <x v="4"/>
    <x v="2"/>
    <m/>
    <m/>
  </r>
  <r>
    <x v="4"/>
    <x v="4"/>
    <m/>
    <m/>
  </r>
  <r>
    <x v="4"/>
    <x v="5"/>
    <m/>
    <m/>
  </r>
  <r>
    <x v="4"/>
    <x v="6"/>
    <m/>
    <m/>
  </r>
  <r>
    <x v="4"/>
    <x v="7"/>
    <m/>
    <m/>
  </r>
  <r>
    <x v="4"/>
    <x v="8"/>
    <m/>
    <m/>
  </r>
  <r>
    <x v="4"/>
    <x v="9"/>
    <m/>
    <m/>
  </r>
  <r>
    <x v="4"/>
    <x v="10"/>
    <m/>
    <m/>
  </r>
  <r>
    <x v="4"/>
    <x v="11"/>
    <m/>
    <m/>
  </r>
  <r>
    <x v="4"/>
    <x v="12"/>
    <m/>
    <m/>
  </r>
  <r>
    <x v="4"/>
    <x v="13"/>
    <m/>
    <m/>
  </r>
  <r>
    <x v="4"/>
    <x v="14"/>
    <m/>
    <m/>
  </r>
  <r>
    <x v="4"/>
    <x v="15"/>
    <m/>
    <m/>
  </r>
  <r>
    <x v="4"/>
    <x v="16"/>
    <m/>
    <m/>
  </r>
  <r>
    <x v="4"/>
    <x v="17"/>
    <m/>
    <m/>
  </r>
  <r>
    <x v="4"/>
    <x v="18"/>
    <m/>
    <m/>
  </r>
  <r>
    <x v="4"/>
    <x v="20"/>
    <m/>
    <m/>
  </r>
  <r>
    <x v="4"/>
    <x v="21"/>
    <m/>
    <m/>
  </r>
  <r>
    <x v="4"/>
    <x v="24"/>
    <m/>
    <m/>
  </r>
  <r>
    <x v="4"/>
    <x v="25"/>
    <m/>
    <m/>
  </r>
  <r>
    <x v="4"/>
    <x v="26"/>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m/>
    <s v="Outreach"/>
    <s v="# of rural producers receiving project services (recorded and coded)"/>
    <s v="producers"/>
    <m/>
    <m/>
    <m/>
    <n v="0"/>
    <m/>
    <m/>
    <m/>
    <x v="0"/>
    <x v="0"/>
    <m/>
    <m/>
    <m/>
    <n v="0"/>
    <n v="0"/>
    <n v="0"/>
  </r>
  <r>
    <m/>
    <s v="Potato producers"/>
    <s v="# of rural producers receiving project services (recorded and coded)"/>
    <s v="producers"/>
    <m/>
    <n v="200"/>
    <n v="90000"/>
    <n v="0"/>
    <m/>
    <m/>
    <m/>
    <x v="0"/>
    <x v="0"/>
    <m/>
    <m/>
    <m/>
    <n v="0"/>
    <n v="0"/>
    <n v="0"/>
  </r>
  <r>
    <m/>
    <s v="Cassava producers"/>
    <s v="# of rural producers receiving project services (recorded and coded)"/>
    <s v="producers"/>
    <m/>
    <n v="4000"/>
    <n v="5000"/>
    <n v="0"/>
    <m/>
    <m/>
    <m/>
    <x v="0"/>
    <x v="0"/>
    <m/>
    <m/>
    <m/>
    <n v="0"/>
    <n v="0"/>
    <n v="0"/>
  </r>
  <r>
    <m/>
    <s v="Beans producers"/>
    <s v="# of rural producers receiving project services (recorded and coded)"/>
    <s v="producers"/>
    <m/>
    <n v="3000"/>
    <n v="6000"/>
    <n v="0"/>
    <m/>
    <m/>
    <m/>
    <x v="0"/>
    <x v="0"/>
    <m/>
    <m/>
    <m/>
    <n v="0"/>
    <n v="0"/>
    <n v="0"/>
  </r>
  <r>
    <m/>
    <s v="Village chicken"/>
    <s v="# of rural producers receiving project services (recorded and coded)"/>
    <s v="producers"/>
    <m/>
    <n v="2600"/>
    <n v="7000"/>
    <n v="0"/>
    <m/>
    <m/>
    <m/>
    <x v="0"/>
    <x v="0"/>
    <m/>
    <m/>
    <m/>
    <n v="0"/>
    <n v="0"/>
    <n v="0"/>
  </r>
  <r>
    <m/>
    <s v="Subcomponent 1 - Access to affordable and basic assets"/>
    <m/>
    <s v=""/>
    <n v="1"/>
    <m/>
    <m/>
    <n v="0"/>
    <m/>
    <m/>
    <m/>
    <x v="1"/>
    <x v="0"/>
    <m/>
    <m/>
    <m/>
    <n v="0"/>
    <n v="0"/>
    <n v="0"/>
  </r>
  <r>
    <s v="A"/>
    <s v="Produce research level planting materials"/>
    <m/>
    <s v=""/>
    <n v="1"/>
    <m/>
    <m/>
    <n v="0"/>
    <m/>
    <m/>
    <m/>
    <x v="1"/>
    <x v="0"/>
    <m/>
    <m/>
    <m/>
    <n v="0"/>
    <n v="0"/>
    <n v="0"/>
  </r>
  <r>
    <n v="1"/>
    <s v="Produce Foundation Cassava stems"/>
    <s v="# of stems, seedlings, cuttings or plantlets produced"/>
    <s v="units"/>
    <n v="1"/>
    <n v="1000000"/>
    <n v="2"/>
    <n v="31575.623618566464"/>
    <s v="High"/>
    <m/>
    <m/>
    <x v="1"/>
    <x v="1"/>
    <n v="0.8"/>
    <n v="0.2"/>
    <m/>
    <n v="25260.498894853172"/>
    <n v="6315.124723713293"/>
    <n v="0"/>
  </r>
  <r>
    <n v="2"/>
    <s v="Produce Foundation Irish potato mini-tubers"/>
    <s v="kg of seed produced"/>
    <s v="kg"/>
    <n v="1"/>
    <n v="64000"/>
    <n v="30"/>
    <n v="30312.598673823806"/>
    <s v="High"/>
    <m/>
    <m/>
    <x v="1"/>
    <x v="1"/>
    <n v="0.8"/>
    <n v="0.2"/>
    <m/>
    <n v="24250.078939059047"/>
    <n v="6062.5197347647618"/>
    <n v="0"/>
  </r>
  <r>
    <n v="4"/>
    <s v="Produce Foundation Beans"/>
    <s v="kg of seed produced"/>
    <s v="kg"/>
    <n v="1"/>
    <n v="1500"/>
    <n v="150"/>
    <n v="3552.2576570887272"/>
    <s v="High"/>
    <m/>
    <m/>
    <x v="1"/>
    <x v="1"/>
    <n v="0.8"/>
    <n v="0.2"/>
    <m/>
    <n v="2841.8061256709821"/>
    <n v="710.45153141774551"/>
    <n v="0"/>
  </r>
  <r>
    <m/>
    <m/>
    <m/>
    <s v=""/>
    <m/>
    <m/>
    <m/>
    <n v="0"/>
    <m/>
    <m/>
    <m/>
    <x v="1"/>
    <x v="0"/>
    <n v="1"/>
    <m/>
    <m/>
    <n v="0"/>
    <n v="0"/>
    <n v="0"/>
  </r>
  <r>
    <s v="B"/>
    <s v="Support seed production with emergent farmers and local enterpreneurs"/>
    <m/>
    <s v=""/>
    <m/>
    <m/>
    <m/>
    <n v="0"/>
    <m/>
    <m/>
    <m/>
    <x v="1"/>
    <x v="0"/>
    <m/>
    <m/>
    <m/>
    <n v="0"/>
    <n v="0"/>
    <n v="0"/>
  </r>
  <r>
    <n v="1"/>
    <s v="Produce Certified (C1) Cassava stems"/>
    <s v="# of stems, seedlings, cuttings or plantlets produced"/>
    <s v="units"/>
    <n v="1"/>
    <n v="10000000"/>
    <n v="0.75"/>
    <n v="118408.58856962425"/>
    <s v="High"/>
    <m/>
    <m/>
    <x v="1"/>
    <x v="1"/>
    <n v="0.8"/>
    <m/>
    <n v="0.2"/>
    <n v="94726.87085569941"/>
    <n v="0"/>
    <n v="23681.717713924852"/>
  </r>
  <r>
    <n v="2"/>
    <s v="Produce Certified (C1) Irish potato mini-tubers"/>
    <s v="kg of seed produced"/>
    <s v="kg"/>
    <n v="1"/>
    <n v="160000"/>
    <n v="25"/>
    <n v="63151.247237132928"/>
    <s v="High"/>
    <m/>
    <m/>
    <x v="1"/>
    <x v="1"/>
    <n v="0.8"/>
    <m/>
    <n v="0.2"/>
    <n v="50520.997789706344"/>
    <n v="0"/>
    <n v="12630.249447426586"/>
  </r>
  <r>
    <n v="4"/>
    <s v="Produce Certified (C1) Beans"/>
    <s v="kg of seed produced"/>
    <s v="kg"/>
    <n v="1"/>
    <n v="45000"/>
    <n v="50"/>
    <n v="35522.576570887271"/>
    <s v="High"/>
    <m/>
    <m/>
    <x v="1"/>
    <x v="1"/>
    <n v="0.8"/>
    <m/>
    <n v="0.2"/>
    <n v="28418.061256709818"/>
    <n v="0"/>
    <n v="7104.5153141774545"/>
  </r>
  <r>
    <m/>
    <m/>
    <m/>
    <s v=""/>
    <n v="1"/>
    <m/>
    <m/>
    <n v="0"/>
    <m/>
    <m/>
    <m/>
    <x v="1"/>
    <x v="0"/>
    <m/>
    <m/>
    <m/>
    <n v="0"/>
    <n v="0"/>
    <n v="0"/>
  </r>
  <r>
    <s v="C"/>
    <s v="Support chicken multiplication with emergent producers and local enterpreneus"/>
    <m/>
    <s v=""/>
    <n v="1"/>
    <m/>
    <m/>
    <n v="0"/>
    <m/>
    <m/>
    <m/>
    <x v="1"/>
    <x v="0"/>
    <m/>
    <m/>
    <m/>
    <n v="0"/>
    <n v="0"/>
    <n v="0"/>
  </r>
  <r>
    <n v="1"/>
    <s v="Procure and allocate hatcheries"/>
    <s v="# of units"/>
    <s v="units"/>
    <n v="1"/>
    <n v="13"/>
    <n v="125000"/>
    <n v="25655.194190085254"/>
    <s v="High"/>
    <m/>
    <m/>
    <x v="1"/>
    <x v="1"/>
    <n v="0.9"/>
    <m/>
    <n v="0.1"/>
    <n v="23089.67477107673"/>
    <n v="0"/>
    <n v="2565.5194190085258"/>
  </r>
  <r>
    <n v="2"/>
    <s v="Procure and allocate improved chickens"/>
    <s v="# of animals of improved breeds allocated"/>
    <s v="animals"/>
    <n v="1"/>
    <n v="130"/>
    <n v="1500"/>
    <n v="3078.6233028102301"/>
    <s v="High"/>
    <m/>
    <m/>
    <x v="1"/>
    <x v="1"/>
    <n v="1"/>
    <m/>
    <m/>
    <n v="3078.6233028102301"/>
    <n v="0"/>
    <n v="0"/>
  </r>
  <r>
    <n v="3"/>
    <s v="Procure and allocate landim chickens"/>
    <s v="# of animals of local breeds allocated"/>
    <s v="animals"/>
    <n v="1"/>
    <n v="13000"/>
    <n v="700"/>
    <n v="143669.0874644774"/>
    <s v="High"/>
    <m/>
    <m/>
    <x v="1"/>
    <x v="1"/>
    <n v="1"/>
    <m/>
    <m/>
    <n v="143669.0874644774"/>
    <n v="0"/>
    <n v="0"/>
  </r>
  <r>
    <n v="5"/>
    <s v="Establish demonstrative chicken shelters"/>
    <s v="# of livestock demonstration, research or learning plots or units established"/>
    <s v="units"/>
    <n v="1"/>
    <n v="130"/>
    <n v="12500"/>
    <n v="25655.194190085254"/>
    <s v="High"/>
    <m/>
    <m/>
    <x v="1"/>
    <x v="1"/>
    <n v="0.9"/>
    <m/>
    <n v="0.1"/>
    <n v="23089.67477107673"/>
    <n v="0"/>
    <n v="2565.5194190085258"/>
  </r>
  <r>
    <m/>
    <m/>
    <m/>
    <s v=""/>
    <m/>
    <m/>
    <m/>
    <n v="0"/>
    <m/>
    <m/>
    <m/>
    <x v="1"/>
    <x v="0"/>
    <m/>
    <m/>
    <m/>
    <n v="0"/>
    <n v="0"/>
    <n v="0"/>
  </r>
  <r>
    <s v="D"/>
    <s v="Procure and allocate trial input support packages"/>
    <m/>
    <s v=""/>
    <m/>
    <m/>
    <m/>
    <n v="0"/>
    <m/>
    <m/>
    <m/>
    <x v="1"/>
    <x v="0"/>
    <m/>
    <m/>
    <m/>
    <n v="0"/>
    <n v="0"/>
    <n v="0"/>
  </r>
  <r>
    <n v="1"/>
    <s v="Cassava input support packages"/>
    <s v="# of households assessing inputs and/or technological packages"/>
    <s v="households"/>
    <n v="1"/>
    <n v="3000"/>
    <n v="5000"/>
    <n v="236817.1771392485"/>
    <s v="High"/>
    <m/>
    <m/>
    <x v="1"/>
    <x v="1"/>
    <n v="1"/>
    <m/>
    <m/>
    <n v="236817.1771392485"/>
    <n v="0"/>
    <n v="0"/>
  </r>
  <r>
    <n v="2"/>
    <s v="Irish potato input support packages"/>
    <s v="# of households assessing inputs and/or technological packages"/>
    <s v="households"/>
    <n v="1"/>
    <n v="200"/>
    <n v="45000"/>
    <n v="142090.30628354909"/>
    <s v="High"/>
    <m/>
    <m/>
    <x v="1"/>
    <x v="1"/>
    <n v="1"/>
    <m/>
    <m/>
    <n v="142090.30628354909"/>
    <n v="0"/>
    <n v="0"/>
  </r>
  <r>
    <n v="3"/>
    <s v="Beans input support packages"/>
    <s v="# of households assessing inputs and/or technological packages"/>
    <s v="households"/>
    <n v="1"/>
    <n v="3000"/>
    <n v="6000"/>
    <n v="284180.61256709817"/>
    <s v="High"/>
    <m/>
    <m/>
    <x v="1"/>
    <x v="1"/>
    <n v="1"/>
    <m/>
    <m/>
    <n v="284180.61256709817"/>
    <n v="0"/>
    <n v="0"/>
  </r>
  <r>
    <m/>
    <s v="Subcomponent 2 - Small Scale Infrastructure and Equipment"/>
    <m/>
    <s v=""/>
    <n v="1"/>
    <m/>
    <m/>
    <n v="0"/>
    <m/>
    <m/>
    <m/>
    <x v="0"/>
    <x v="0"/>
    <m/>
    <m/>
    <m/>
    <n v="0"/>
    <n v="0"/>
    <n v="0"/>
  </r>
  <r>
    <s v="F"/>
    <s v="Promote low-cost small-scale irrigation infrastructure and/or equipment"/>
    <s v="# of units"/>
    <s v="units"/>
    <n v="1"/>
    <n v="8"/>
    <n v="3000000"/>
    <n v="378907.48342279758"/>
    <s v="High"/>
    <m/>
    <m/>
    <x v="2"/>
    <x v="2"/>
    <n v="0.9"/>
    <m/>
    <n v="0.1"/>
    <n v="341016.73508051783"/>
    <n v="0"/>
    <n v="37890.74834227976"/>
  </r>
  <r>
    <s v="G"/>
    <s v="Establish pilots on use of renuewable energy for value-addition facilities"/>
    <m/>
    <s v=""/>
    <n v="1"/>
    <n v="5"/>
    <n v="2500000"/>
    <n v="197347.6476160404"/>
    <s v="High"/>
    <m/>
    <m/>
    <x v="2"/>
    <x v="2"/>
    <n v="0.9"/>
    <m/>
    <n v="0.1"/>
    <n v="177612.88285443635"/>
    <n v="0"/>
    <n v="19734.764761604041"/>
  </r>
  <r>
    <m/>
    <s v="Subcomponent 3 - Access to short-term finance"/>
    <m/>
    <s v=""/>
    <m/>
    <m/>
    <m/>
    <n v="0"/>
    <m/>
    <m/>
    <m/>
    <x v="0"/>
    <x v="0"/>
    <m/>
    <m/>
    <m/>
    <n v="0"/>
    <n v="0"/>
    <n v="0"/>
  </r>
  <r>
    <s v="G"/>
    <s v="Establish matching grant scheme for operating costs (inputs for outgrower schemes and FO)"/>
    <s v="# of FO and MSMEs supported"/>
    <s v="entities"/>
    <n v="1"/>
    <n v="13"/>
    <n v="800000"/>
    <n v="164193.24281654562"/>
    <s v="High"/>
    <m/>
    <m/>
    <x v="3"/>
    <x v="3"/>
    <n v="1"/>
    <m/>
    <m/>
    <n v="164193.24281654562"/>
    <n v="0"/>
    <n v="0"/>
  </r>
  <r>
    <s v="H"/>
    <s v="Establish matching grant scheme for small-scale investments (farm mechanization, value-addition, transportation &amp; marketing)"/>
    <s v="# of FO and MSMEs supported"/>
    <s v="entities"/>
    <n v="1"/>
    <n v="50"/>
    <n v="300000"/>
    <n v="236817.1771392485"/>
    <s v="High"/>
    <m/>
    <m/>
    <x v="3"/>
    <x v="3"/>
    <n v="1"/>
    <m/>
    <m/>
    <n v="236817.1771392485"/>
    <n v="0"/>
    <n v="0"/>
  </r>
  <r>
    <s v="I"/>
    <s v="Support to FO and MSMEs on business proposal writting and fundraising"/>
    <m/>
    <s v=""/>
    <n v="1"/>
    <n v="63"/>
    <n v="50000"/>
    <n v="49731.607199242186"/>
    <s v="High"/>
    <m/>
    <m/>
    <x v="3"/>
    <x v="4"/>
    <n v="1"/>
    <m/>
    <m/>
    <n v="49731.607199242186"/>
    <n v="0"/>
    <n v="0"/>
  </r>
  <r>
    <m/>
    <m/>
    <m/>
    <s v=""/>
    <m/>
    <m/>
    <m/>
    <n v="0"/>
    <m/>
    <m/>
    <m/>
    <x v="0"/>
    <x v="0"/>
    <m/>
    <m/>
    <m/>
    <n v="0"/>
    <n v="0"/>
    <n v="0"/>
  </r>
  <r>
    <m/>
    <s v="Subcomponent 4 - Project Management and Oversight"/>
    <m/>
    <s v=""/>
    <m/>
    <m/>
    <m/>
    <n v="0"/>
    <m/>
    <m/>
    <m/>
    <x v="4"/>
    <x v="0"/>
    <m/>
    <m/>
    <m/>
    <n v="0"/>
    <n v="0"/>
    <n v="0"/>
  </r>
  <r>
    <s v="A"/>
    <s v="Carry out suppervision, monitoring and evaluation and KM (including resources for SDAE)"/>
    <s v="# of action plans prepared, approved and implemented"/>
    <s v="plans"/>
    <n v="3"/>
    <n v="22"/>
    <n v="50000"/>
    <n v="52099.778970634667"/>
    <s v="High"/>
    <m/>
    <m/>
    <x v="4"/>
    <x v="4"/>
    <n v="1"/>
    <m/>
    <m/>
    <n v="52099.778970634667"/>
    <n v="0"/>
    <n v="0"/>
  </r>
  <r>
    <s v="C"/>
    <s v="Completion repor, M&amp;E and KM products "/>
    <s v="# of reports prepared and approved"/>
    <s v="reports"/>
    <n v="1"/>
    <n v="1"/>
    <n v="2500000"/>
    <n v="39469.529523208083"/>
    <s v="High"/>
    <m/>
    <m/>
    <x v="4"/>
    <x v="4"/>
    <n v="1"/>
    <m/>
    <m/>
    <n v="39469.529523208083"/>
    <n v="0"/>
    <n v="0"/>
  </r>
  <r>
    <s v="D"/>
    <s v="Carry out component audit"/>
    <s v="# of reports prepared and approved"/>
    <s v="reports"/>
    <n v="1"/>
    <n v="1"/>
    <n v="2200000"/>
    <n v="34733.185980423114"/>
    <s v="High"/>
    <m/>
    <m/>
    <x v="4"/>
    <x v="4"/>
    <n v="1"/>
    <m/>
    <m/>
    <n v="34733.185980423114"/>
    <n v="0"/>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m/>
    <s v="Outreach"/>
    <x v="0"/>
    <s v="# of rural producers receiving project services (recorded and coded)"/>
    <s v="producers"/>
    <m/>
    <m/>
    <m/>
    <n v="0"/>
    <n v="0"/>
    <n v="0"/>
    <m/>
    <m/>
    <x v="0"/>
    <m/>
    <m/>
    <m/>
    <x v="0"/>
    <n v="0"/>
    <n v="0"/>
    <n v="0"/>
    <n v="0"/>
    <n v="0"/>
    <n v="0"/>
    <m/>
    <m/>
    <m/>
    <n v="0"/>
    <n v="0"/>
    <n v="0"/>
    <m/>
    <m/>
    <m/>
    <m/>
    <m/>
    <m/>
    <m/>
    <m/>
    <m/>
    <m/>
    <m/>
    <m/>
    <m/>
    <m/>
    <m/>
    <m/>
    <m/>
    <m/>
    <m/>
    <m/>
    <m/>
    <m/>
    <m/>
    <m/>
    <m/>
  </r>
  <r>
    <m/>
    <s v="Potato producers"/>
    <x v="0"/>
    <s v="# of rural producers receiving project services (recorded and coded)"/>
    <s v="producers"/>
    <m/>
    <n v="200"/>
    <n v="90000"/>
    <n v="0"/>
    <n v="0"/>
    <n v="0"/>
    <m/>
    <m/>
    <x v="0"/>
    <m/>
    <m/>
    <m/>
    <x v="0"/>
    <n v="0"/>
    <n v="0"/>
    <n v="0"/>
    <n v="0"/>
    <n v="0"/>
    <n v="0"/>
    <m/>
    <m/>
    <m/>
    <n v="0"/>
    <n v="0"/>
    <n v="0"/>
    <m/>
    <m/>
    <m/>
    <m/>
    <m/>
    <m/>
    <m/>
    <m/>
    <m/>
    <m/>
    <m/>
    <m/>
    <m/>
    <m/>
    <m/>
    <m/>
    <m/>
    <m/>
    <m/>
    <m/>
    <m/>
    <m/>
    <m/>
    <m/>
    <m/>
  </r>
  <r>
    <m/>
    <s v="Cassava producers"/>
    <x v="0"/>
    <s v="# of rural producers receiving project services (recorded and coded)"/>
    <s v="producers"/>
    <m/>
    <n v="3000"/>
    <n v="5000"/>
    <n v="0"/>
    <n v="0"/>
    <n v="0"/>
    <m/>
    <m/>
    <x v="0"/>
    <m/>
    <m/>
    <m/>
    <x v="0"/>
    <n v="0"/>
    <n v="0"/>
    <n v="0"/>
    <n v="0"/>
    <n v="0"/>
    <n v="0"/>
    <m/>
    <m/>
    <m/>
    <n v="0"/>
    <n v="0"/>
    <n v="0"/>
    <m/>
    <m/>
    <m/>
    <m/>
    <m/>
    <m/>
    <m/>
    <m/>
    <m/>
    <m/>
    <m/>
    <m/>
    <m/>
    <m/>
    <m/>
    <m/>
    <m/>
    <m/>
    <m/>
    <m/>
    <m/>
    <m/>
    <m/>
    <m/>
    <m/>
  </r>
  <r>
    <m/>
    <s v="Beans producers"/>
    <x v="0"/>
    <s v="# of rural producers receiving project services (recorded and coded)"/>
    <s v="producers"/>
    <m/>
    <n v="2500"/>
    <n v="6000"/>
    <n v="0"/>
    <n v="0"/>
    <n v="0"/>
    <m/>
    <m/>
    <x v="0"/>
    <m/>
    <m/>
    <m/>
    <x v="0"/>
    <n v="0"/>
    <n v="0"/>
    <n v="0"/>
    <n v="0"/>
    <n v="0"/>
    <n v="0"/>
    <m/>
    <m/>
    <m/>
    <n v="0"/>
    <n v="0"/>
    <n v="0"/>
    <m/>
    <m/>
    <m/>
    <m/>
    <m/>
    <m/>
    <m/>
    <m/>
    <m/>
    <m/>
    <m/>
    <m/>
    <m/>
    <m/>
    <m/>
    <m/>
    <m/>
    <m/>
    <m/>
    <m/>
    <m/>
    <m/>
    <m/>
    <m/>
    <m/>
  </r>
  <r>
    <m/>
    <s v="SUBCOMPONENT 1 - ACCESS TO AFFORDABLE INPUTS AND BASIC ASSETS"/>
    <x v="1"/>
    <m/>
    <s v=""/>
    <m/>
    <m/>
    <m/>
    <n v="0"/>
    <n v="1667831.7860550538"/>
    <n v="1452937.0042627091"/>
    <n v="141315.68041485819"/>
    <n v="73579.101377486586"/>
    <x v="0"/>
    <n v="0"/>
    <m/>
    <m/>
    <x v="0"/>
    <m/>
    <m/>
    <m/>
    <n v="1452937.0042627091"/>
    <n v="141315.68041485819"/>
    <n v="73579.101377486571"/>
    <m/>
    <m/>
    <m/>
    <n v="0"/>
    <n v="1001539.3116514051"/>
    <n v="451397.69261130405"/>
    <n v="0"/>
    <n v="0"/>
    <n v="0"/>
    <n v="0"/>
    <n v="0"/>
    <n v="0"/>
    <n v="0"/>
    <n v="0"/>
    <m/>
    <m/>
    <m/>
    <m/>
    <m/>
    <m/>
    <m/>
    <m/>
    <m/>
    <m/>
    <m/>
    <m/>
    <m/>
    <m/>
    <m/>
    <m/>
    <m/>
  </r>
  <r>
    <s v="A"/>
    <s v="Produce research level planting materials"/>
    <x v="1"/>
    <m/>
    <s v=""/>
    <m/>
    <m/>
    <m/>
    <n v="0"/>
    <n v="0"/>
    <n v="0"/>
    <m/>
    <m/>
    <x v="0"/>
    <m/>
    <m/>
    <s v="Subcomponent 1 - Access to affordable inputs and basic assets"/>
    <x v="0"/>
    <n v="0"/>
    <n v="0"/>
    <n v="0"/>
    <n v="0"/>
    <n v="0"/>
    <n v="0"/>
    <m/>
    <m/>
    <m/>
    <n v="0"/>
    <n v="0"/>
    <n v="0"/>
    <m/>
    <m/>
    <m/>
    <m/>
    <m/>
    <m/>
    <m/>
    <m/>
    <m/>
    <m/>
    <m/>
    <m/>
    <m/>
    <m/>
    <m/>
    <m/>
    <m/>
    <m/>
    <m/>
    <m/>
    <m/>
    <m/>
    <m/>
    <m/>
    <m/>
  </r>
  <r>
    <n v="1"/>
    <s v="Establish Cassava stems multiplication plots in collaboration with IIAM (new varieties with high starch content)"/>
    <x v="1"/>
    <s v="# of stems, seedlings, cuttings or plantlets produced"/>
    <s v="units"/>
    <n v="1"/>
    <n v="750000"/>
    <n v="1.5"/>
    <n v="17761.288285443636"/>
    <n v="22201.610356804544"/>
    <n v="17761.288285443636"/>
    <n v="4440.3220713609089"/>
    <m/>
    <x v="1"/>
    <m/>
    <m/>
    <s v="Subcomponent 1 - Access to affordable inputs and basic assets"/>
    <x v="1"/>
    <n v="0.8"/>
    <n v="0.2"/>
    <n v="0"/>
    <n v="17761.288285443636"/>
    <n v="4440.3220713609089"/>
    <n v="0"/>
    <m/>
    <n v="1"/>
    <n v="0"/>
    <n v="0"/>
    <n v="17761.288285443636"/>
    <n v="0"/>
    <m/>
    <m/>
    <m/>
    <m/>
    <m/>
    <m/>
    <m/>
    <m/>
    <n v="500000"/>
    <n v="300000"/>
    <m/>
    <m/>
    <m/>
    <m/>
    <m/>
    <m/>
    <m/>
    <m/>
    <m/>
    <m/>
    <m/>
    <m/>
    <m/>
    <m/>
    <m/>
  </r>
  <r>
    <n v="2"/>
    <s v="Produce Foundation Irish potato mini-tubers in collaboration with IIAM"/>
    <x v="1"/>
    <s v="kg of seed produced"/>
    <s v="kg"/>
    <n v="1"/>
    <n v="60000"/>
    <n v="30"/>
    <n v="28418.061256709818"/>
    <n v="35522.576570887271"/>
    <n v="28418.061256709818"/>
    <n v="7104.5153141774545"/>
    <m/>
    <x v="1"/>
    <m/>
    <m/>
    <s v="Subcomponent 1 - Access to affordable inputs and basic assets"/>
    <x v="1"/>
    <n v="0.8"/>
    <n v="0.2"/>
    <n v="0"/>
    <n v="28418.061256709818"/>
    <n v="7104.5153141774545"/>
    <n v="0"/>
    <m/>
    <n v="1"/>
    <n v="0"/>
    <n v="0"/>
    <n v="28418.061256709818"/>
    <n v="0"/>
    <m/>
    <m/>
    <m/>
    <m/>
    <m/>
    <m/>
    <m/>
    <m/>
    <m/>
    <m/>
    <m/>
    <m/>
    <m/>
    <m/>
    <m/>
    <m/>
    <m/>
    <m/>
    <m/>
    <n v="30000"/>
    <n v="30000"/>
    <m/>
    <m/>
    <m/>
    <m/>
  </r>
  <r>
    <n v="3"/>
    <s v="Produce Foundation Beans in collaboration with IIAM"/>
    <x v="1"/>
    <s v="kg of seed produced"/>
    <s v="kg"/>
    <n v="1"/>
    <n v="1250"/>
    <n v="150"/>
    <n v="2960.2147142406061"/>
    <n v="3700.2683928007577"/>
    <n v="2960.2147142406061"/>
    <n v="740.05367856015152"/>
    <m/>
    <x v="1"/>
    <m/>
    <m/>
    <s v="Subcomponent 1 - Access to affordable inputs and basic assets"/>
    <x v="1"/>
    <n v="0.79999999999999993"/>
    <n v="0.19999999999999998"/>
    <n v="0"/>
    <n v="2960.2147142406061"/>
    <n v="740.05367856015152"/>
    <n v="0"/>
    <m/>
    <n v="1"/>
    <n v="0"/>
    <n v="0"/>
    <n v="2960.2147142406061"/>
    <n v="0"/>
    <m/>
    <m/>
    <m/>
    <m/>
    <m/>
    <m/>
    <m/>
    <m/>
    <m/>
    <m/>
    <m/>
    <m/>
    <m/>
    <m/>
    <m/>
    <m/>
    <n v="1500"/>
    <m/>
    <m/>
    <m/>
    <m/>
    <m/>
    <m/>
    <m/>
    <m/>
  </r>
  <r>
    <m/>
    <m/>
    <x v="0"/>
    <m/>
    <s v=""/>
    <m/>
    <m/>
    <m/>
    <n v="0"/>
    <n v="0"/>
    <n v="0"/>
    <m/>
    <m/>
    <x v="0"/>
    <m/>
    <m/>
    <s v="Subcomponent 1 - Access to affordable inputs and basic assets"/>
    <x v="0"/>
    <n v="0"/>
    <n v="0"/>
    <n v="0"/>
    <n v="0"/>
    <n v="0"/>
    <n v="0"/>
    <m/>
    <m/>
    <n v="1"/>
    <n v="0"/>
    <n v="0"/>
    <n v="0"/>
    <m/>
    <m/>
    <m/>
    <m/>
    <m/>
    <m/>
    <m/>
    <m/>
    <m/>
    <m/>
    <m/>
    <m/>
    <m/>
    <m/>
    <m/>
    <m/>
    <m/>
    <m/>
    <m/>
    <m/>
    <m/>
    <m/>
    <m/>
    <m/>
    <m/>
  </r>
  <r>
    <s v="B"/>
    <s v="Support seed production with emergent farmers and local enterpreneurs"/>
    <x v="1"/>
    <m/>
    <s v=""/>
    <m/>
    <m/>
    <m/>
    <n v="0"/>
    <n v="0"/>
    <n v="0"/>
    <m/>
    <m/>
    <x v="0"/>
    <m/>
    <m/>
    <s v="Subcomponent 1 - Access to affordable inputs and basic assets"/>
    <x v="0"/>
    <n v="0"/>
    <n v="0"/>
    <n v="0"/>
    <n v="0"/>
    <n v="0"/>
    <n v="0"/>
    <m/>
    <m/>
    <n v="1"/>
    <n v="0"/>
    <n v="0"/>
    <n v="0"/>
    <m/>
    <m/>
    <m/>
    <m/>
    <m/>
    <m/>
    <m/>
    <m/>
    <m/>
    <m/>
    <m/>
    <m/>
    <m/>
    <m/>
    <m/>
    <m/>
    <m/>
    <m/>
    <m/>
    <m/>
    <m/>
    <m/>
    <m/>
    <m/>
    <m/>
  </r>
  <r>
    <n v="1"/>
    <s v="Establish Certified (C1) Cassava stems with emergent farmers &amp; local enterpreneurs"/>
    <x v="1"/>
    <s v="# of stems, seedlings, cuttings or plantlets produced"/>
    <s v="units"/>
    <n v="1"/>
    <n v="7000000"/>
    <n v="0.75"/>
    <n v="82886.011998736969"/>
    <n v="91174.613198610663"/>
    <n v="82886.011998736969"/>
    <n v="8288.6011998736976"/>
    <m/>
    <x v="1"/>
    <m/>
    <m/>
    <s v="Subcomponent 1 - Access to affordable inputs and basic assets"/>
    <x v="1"/>
    <n v="0.90909090909090917"/>
    <n v="9.0909090909090925E-2"/>
    <n v="0"/>
    <n v="82886.011998736969"/>
    <n v="8288.6011998736976"/>
    <n v="0"/>
    <m/>
    <n v="1"/>
    <n v="0"/>
    <n v="0"/>
    <n v="82886.011998736969"/>
    <n v="0"/>
    <m/>
    <m/>
    <m/>
    <m/>
    <m/>
    <m/>
    <m/>
    <m/>
    <m/>
    <m/>
    <m/>
    <m/>
    <m/>
    <m/>
    <m/>
    <m/>
    <m/>
    <m/>
    <m/>
    <n v="5000000"/>
    <m/>
    <m/>
    <m/>
    <m/>
    <m/>
  </r>
  <r>
    <n v="2"/>
    <s v="Produce Certified (C1) Irish potato mini-tubers with emergent farmers &amp; local enterpreneurs"/>
    <x v="1"/>
    <s v="kg of seed produced"/>
    <s v="kg"/>
    <n v="1"/>
    <n v="160000"/>
    <n v="25"/>
    <n v="63151.247237132928"/>
    <n v="75781.496684559519"/>
    <n v="63151.247237132928"/>
    <n v="12630.249447426586"/>
    <m/>
    <x v="1"/>
    <m/>
    <m/>
    <s v="Subcomponent 1 - Access to affordable inputs and basic assets"/>
    <x v="1"/>
    <n v="0.83333333333333326"/>
    <n v="0.16666666666666666"/>
    <n v="0"/>
    <n v="63151.247237132928"/>
    <n v="12630.249447426586"/>
    <n v="0"/>
    <m/>
    <n v="1"/>
    <n v="0"/>
    <n v="0"/>
    <n v="63151.247237132928"/>
    <n v="0"/>
    <m/>
    <m/>
    <m/>
    <m/>
    <m/>
    <m/>
    <m/>
    <m/>
    <m/>
    <m/>
    <m/>
    <m/>
    <m/>
    <m/>
    <m/>
    <m/>
    <m/>
    <m/>
    <m/>
    <m/>
    <n v="3000000"/>
    <m/>
    <m/>
    <m/>
    <m/>
  </r>
  <r>
    <n v="3"/>
    <s v="Produce Certified (C1) Beans with emergent farmers &amp; local enterpreneurs"/>
    <x v="1"/>
    <s v="kg of seed produced"/>
    <s v="kg"/>
    <n v="1"/>
    <n v="37500"/>
    <n v="50"/>
    <n v="29602.147142406062"/>
    <n v="38482.791285127882"/>
    <n v="29602.147142406062"/>
    <n v="5920.4294284812131"/>
    <n v="2960.2147142406066"/>
    <x v="1"/>
    <m/>
    <m/>
    <s v="Subcomponent 1 - Access to affordable inputs and basic assets"/>
    <x v="1"/>
    <n v="0.76923076923076916"/>
    <n v="0.15384615384615385"/>
    <n v="7.6923076923076927E-2"/>
    <n v="29602.147142406062"/>
    <n v="5920.4294284812131"/>
    <n v="2960.2147142406066"/>
    <m/>
    <n v="1"/>
    <n v="0"/>
    <n v="0"/>
    <n v="29602.147142406062"/>
    <n v="0"/>
    <m/>
    <m/>
    <m/>
    <m/>
    <m/>
    <m/>
    <m/>
    <m/>
    <m/>
    <m/>
    <m/>
    <m/>
    <m/>
    <m/>
    <m/>
    <m/>
    <m/>
    <m/>
    <n v="18750"/>
    <n v="18750"/>
    <m/>
    <m/>
    <m/>
    <m/>
    <m/>
  </r>
  <r>
    <m/>
    <m/>
    <x v="0"/>
    <m/>
    <s v=""/>
    <n v="1"/>
    <m/>
    <m/>
    <n v="0"/>
    <n v="0"/>
    <n v="0"/>
    <m/>
    <m/>
    <x v="0"/>
    <m/>
    <m/>
    <s v="Subcomponent 1 - Access to affordable inputs and basic assets"/>
    <x v="0"/>
    <n v="0"/>
    <n v="0"/>
    <n v="0"/>
    <n v="0"/>
    <n v="0"/>
    <n v="0"/>
    <m/>
    <m/>
    <n v="1"/>
    <n v="0"/>
    <n v="0"/>
    <n v="0"/>
    <m/>
    <m/>
    <m/>
    <m/>
    <m/>
    <m/>
    <m/>
    <m/>
    <m/>
    <m/>
    <m/>
    <m/>
    <m/>
    <m/>
    <m/>
    <m/>
    <m/>
    <m/>
    <m/>
    <m/>
    <m/>
    <m/>
    <m/>
    <m/>
    <m/>
  </r>
  <r>
    <s v="C"/>
    <s v="Procure and allocate trial input support packages"/>
    <x v="1"/>
    <m/>
    <s v=""/>
    <m/>
    <m/>
    <m/>
    <n v="0"/>
    <n v="0"/>
    <n v="0"/>
    <m/>
    <m/>
    <x v="0"/>
    <m/>
    <m/>
    <s v="Subcomponent 1 - Access to affordable inputs and basic assets"/>
    <x v="0"/>
    <n v="0"/>
    <n v="0"/>
    <n v="0"/>
    <n v="0"/>
    <n v="0"/>
    <n v="0"/>
    <m/>
    <m/>
    <n v="1"/>
    <n v="0"/>
    <n v="0"/>
    <n v="0"/>
    <m/>
    <m/>
    <m/>
    <m/>
    <m/>
    <m/>
    <m/>
    <m/>
    <m/>
    <m/>
    <m/>
    <m/>
    <m/>
    <m/>
    <m/>
    <m/>
    <m/>
    <m/>
    <m/>
    <m/>
    <m/>
    <m/>
    <m/>
    <m/>
    <m/>
  </r>
  <r>
    <n v="1"/>
    <s v="Cassava input support packages (stems, agrochemicals)"/>
    <x v="1"/>
    <s v="# of households assessing inputs and/or technological packages"/>
    <s v="households"/>
    <n v="1"/>
    <n v="2000"/>
    <n v="5000"/>
    <n v="157878.11809283233"/>
    <n v="181559.83580675718"/>
    <n v="157878.11809283233"/>
    <n v="15787.811809283234"/>
    <n v="7893.9059046416169"/>
    <x v="1"/>
    <m/>
    <m/>
    <s v="Subcomponent 1 - Access to affordable inputs and basic assets"/>
    <x v="1"/>
    <n v="0.86956521739130432"/>
    <n v="8.6956521739130432E-2"/>
    <n v="4.3478260869565216E-2"/>
    <n v="157878.11809283233"/>
    <n v="15787.811809283232"/>
    <n v="7893.905904641616"/>
    <m/>
    <n v="1"/>
    <n v="0"/>
    <n v="0"/>
    <n v="157878.11809283233"/>
    <n v="0"/>
    <m/>
    <m/>
    <m/>
    <m/>
    <m/>
    <m/>
    <m/>
    <m/>
    <m/>
    <m/>
    <m/>
    <m/>
    <m/>
    <m/>
    <m/>
    <m/>
    <m/>
    <m/>
    <n v="1000"/>
    <n v="1000"/>
    <m/>
    <m/>
    <m/>
    <m/>
    <m/>
  </r>
  <r>
    <n v="2"/>
    <s v="Irish potato input support packages (seeds, agrochemicals)"/>
    <x v="1"/>
    <s v="# of households assessing inputs and/or technological packages"/>
    <s v="households"/>
    <n v="1"/>
    <n v="200"/>
    <n v="40000"/>
    <n v="126302.49447426586"/>
    <n v="145247.86864540575"/>
    <n v="126302.49447426586"/>
    <n v="12630.249447426586"/>
    <n v="6315.124723713293"/>
    <x v="1"/>
    <m/>
    <m/>
    <s v="Subcomponent 1 - Access to affordable inputs and basic assets"/>
    <x v="1"/>
    <n v="0.86956521739130432"/>
    <n v="8.6956521739130432E-2"/>
    <n v="4.3478260869565216E-2"/>
    <n v="126302.49447426586"/>
    <n v="12630.249447426586"/>
    <n v="6315.124723713293"/>
    <m/>
    <n v="1"/>
    <n v="0"/>
    <n v="0"/>
    <n v="126302.49447426586"/>
    <n v="0"/>
    <m/>
    <m/>
    <m/>
    <m/>
    <m/>
    <m/>
    <m/>
    <m/>
    <m/>
    <m/>
    <m/>
    <m/>
    <m/>
    <m/>
    <m/>
    <n v="200"/>
    <m/>
    <m/>
    <m/>
    <m/>
    <m/>
    <m/>
    <m/>
    <m/>
    <m/>
  </r>
  <r>
    <n v="3"/>
    <s v="Beans input support packages (seeds, agrochemicals)"/>
    <x v="1"/>
    <s v="# of households assessing inputs and/or technological packages"/>
    <s v="households"/>
    <n v="1"/>
    <n v="1500"/>
    <n v="6000"/>
    <n v="142090.30628354909"/>
    <n v="163403.85222608145"/>
    <n v="142090.30628354909"/>
    <n v="14209.030628354909"/>
    <n v="7104.5153141774545"/>
    <x v="1"/>
    <m/>
    <m/>
    <s v="Subcomponent 1 - Access to affordable inputs and basic assets"/>
    <x v="1"/>
    <n v="0.86956521739130432"/>
    <n v="8.6956521739130432E-2"/>
    <n v="4.3478260869565216E-2"/>
    <n v="142090.30628354909"/>
    <n v="14209.030628354909"/>
    <n v="7104.5153141774545"/>
    <m/>
    <n v="1"/>
    <n v="0"/>
    <n v="0"/>
    <n v="142090.30628354909"/>
    <n v="0"/>
    <m/>
    <m/>
    <m/>
    <m/>
    <m/>
    <m/>
    <m/>
    <m/>
    <m/>
    <m/>
    <m/>
    <m/>
    <m/>
    <m/>
    <m/>
    <n v="1500"/>
    <m/>
    <m/>
    <m/>
    <m/>
    <m/>
    <m/>
    <m/>
    <m/>
    <m/>
  </r>
  <r>
    <m/>
    <m/>
    <x v="0"/>
    <m/>
    <s v=""/>
    <m/>
    <m/>
    <m/>
    <n v="0"/>
    <n v="0"/>
    <n v="0"/>
    <m/>
    <m/>
    <x v="0"/>
    <m/>
    <m/>
    <m/>
    <x v="0"/>
    <n v="0"/>
    <n v="0"/>
    <n v="0"/>
    <n v="0"/>
    <n v="0"/>
    <n v="0"/>
    <m/>
    <m/>
    <n v="1"/>
    <n v="0"/>
    <n v="0"/>
    <n v="0"/>
    <m/>
    <m/>
    <m/>
    <m/>
    <m/>
    <m/>
    <m/>
    <m/>
    <m/>
    <m/>
    <m/>
    <m/>
    <m/>
    <m/>
    <n v="0"/>
    <m/>
    <m/>
    <m/>
    <m/>
    <m/>
    <m/>
    <m/>
    <m/>
    <m/>
    <m/>
  </r>
  <r>
    <s v="D"/>
    <s v="Promote value addition investments"/>
    <x v="0"/>
    <m/>
    <s v=""/>
    <m/>
    <m/>
    <m/>
    <n v="0"/>
    <n v="0"/>
    <n v="0"/>
    <m/>
    <m/>
    <x v="0"/>
    <m/>
    <m/>
    <m/>
    <x v="0"/>
    <n v="0"/>
    <n v="0"/>
    <n v="0"/>
    <n v="0"/>
    <n v="0"/>
    <n v="0"/>
    <m/>
    <m/>
    <n v="1"/>
    <n v="0"/>
    <n v="0"/>
    <n v="0"/>
    <m/>
    <m/>
    <m/>
    <m/>
    <m/>
    <m/>
    <m/>
    <m/>
    <m/>
    <m/>
    <m/>
    <m/>
    <m/>
    <m/>
    <n v="0"/>
    <m/>
    <m/>
    <m/>
    <m/>
    <m/>
    <m/>
    <m/>
    <m/>
    <m/>
    <m/>
  </r>
  <r>
    <n v="1"/>
    <s v="Establish trials on inclusion of cassava flour on backing industry"/>
    <x v="1"/>
    <s v="# of reports prepared and approved"/>
    <s v="reports"/>
    <n v="1"/>
    <n v="1"/>
    <n v="2200000"/>
    <n v="34733.185980423114"/>
    <n v="34733.185980423114"/>
    <n v="34733.185980423114"/>
    <m/>
    <m/>
    <x v="1"/>
    <m/>
    <m/>
    <s v="Subcomponent 2 - Access to short-term finance"/>
    <x v="1"/>
    <n v="1"/>
    <n v="0"/>
    <n v="0"/>
    <n v="34733.185980423114"/>
    <n v="0"/>
    <n v="0"/>
    <m/>
    <n v="1"/>
    <n v="0"/>
    <n v="0"/>
    <n v="34733.185980423114"/>
    <n v="0"/>
    <m/>
    <m/>
    <m/>
    <m/>
    <m/>
    <m/>
    <m/>
    <m/>
    <m/>
    <m/>
    <m/>
    <n v="1"/>
    <m/>
    <m/>
    <m/>
    <m/>
    <m/>
    <m/>
    <m/>
    <m/>
    <m/>
    <m/>
    <m/>
    <m/>
    <m/>
  </r>
  <r>
    <n v="2"/>
    <s v="Establish and pilot a market information system for value chain stakeholders"/>
    <x v="1"/>
    <s v="# of management information sistems - MIS, established and operational"/>
    <s v="systems"/>
    <n v="1"/>
    <n v="1"/>
    <n v="2500000"/>
    <n v="39469.529523208083"/>
    <n v="39469.529523208083"/>
    <n v="39469.529523208083"/>
    <m/>
    <m/>
    <x v="1"/>
    <m/>
    <m/>
    <s v="Subcomponent 2 - Access to short-term finance"/>
    <x v="1"/>
    <n v="1"/>
    <n v="0"/>
    <n v="0"/>
    <n v="39469.529523208083"/>
    <n v="0"/>
    <n v="0"/>
    <m/>
    <n v="1"/>
    <n v="0"/>
    <n v="0"/>
    <n v="39469.529523208083"/>
    <n v="0"/>
    <m/>
    <m/>
    <m/>
    <m/>
    <m/>
    <m/>
    <m/>
    <m/>
    <m/>
    <m/>
    <m/>
    <m/>
    <m/>
    <m/>
    <n v="1"/>
    <m/>
    <m/>
    <m/>
    <m/>
    <m/>
    <m/>
    <m/>
    <m/>
    <m/>
    <m/>
  </r>
  <r>
    <n v="3"/>
    <s v="Establish pilots on use of renewable energy for value-addition facilities (solar powered processing kits)"/>
    <x v="1"/>
    <s v="# of units"/>
    <s v="units"/>
    <n v="1"/>
    <n v="5"/>
    <n v="1200000"/>
    <n v="94726.870855699395"/>
    <n v="104199.55794126935"/>
    <n v="94726.870855699395"/>
    <n v="4736.3435427849699"/>
    <n v="4736.3435427849699"/>
    <x v="1"/>
    <m/>
    <m/>
    <s v="Subcomponent 2 - Access to short-term finance"/>
    <x v="1"/>
    <n v="0.90909090909090895"/>
    <n v="4.5454545454545449E-2"/>
    <n v="4.5454545454545449E-2"/>
    <n v="94726.870855699395"/>
    <n v="4736.3435427849699"/>
    <n v="4736.3435427849699"/>
    <m/>
    <n v="1"/>
    <n v="0"/>
    <n v="0"/>
    <n v="94726.870855699395"/>
    <n v="0"/>
    <m/>
    <m/>
    <m/>
    <m/>
    <m/>
    <m/>
    <m/>
    <m/>
    <m/>
    <m/>
    <m/>
    <m/>
    <m/>
    <m/>
    <m/>
    <m/>
    <m/>
    <m/>
    <n v="5"/>
    <m/>
    <m/>
    <m/>
    <m/>
    <m/>
    <m/>
  </r>
  <r>
    <m/>
    <m/>
    <x v="0"/>
    <m/>
    <s v=""/>
    <m/>
    <m/>
    <m/>
    <n v="0"/>
    <n v="0"/>
    <n v="0"/>
    <m/>
    <m/>
    <x v="0"/>
    <m/>
    <m/>
    <s v="Subcomponent 1 - Access to affordable inputs and basic assets"/>
    <x v="0"/>
    <n v="0"/>
    <n v="0"/>
    <n v="0"/>
    <n v="0"/>
    <n v="0"/>
    <n v="0"/>
    <m/>
    <m/>
    <n v="1"/>
    <n v="0"/>
    <n v="0"/>
    <n v="0"/>
    <m/>
    <m/>
    <m/>
    <m/>
    <m/>
    <m/>
    <m/>
    <m/>
    <m/>
    <m/>
    <m/>
    <m/>
    <m/>
    <m/>
    <m/>
    <m/>
    <m/>
    <m/>
    <m/>
    <m/>
    <m/>
    <m/>
    <m/>
    <m/>
    <m/>
  </r>
  <r>
    <s v="E"/>
    <s v="Small Scale Productive Equipment"/>
    <x v="1"/>
    <m/>
    <s v=""/>
    <m/>
    <m/>
    <m/>
    <n v="0"/>
    <n v="0"/>
    <n v="0"/>
    <m/>
    <m/>
    <x v="0"/>
    <m/>
    <m/>
    <m/>
    <x v="0"/>
    <n v="0"/>
    <n v="0"/>
    <n v="0"/>
    <n v="0"/>
    <n v="0"/>
    <n v="0"/>
    <m/>
    <m/>
    <n v="1"/>
    <n v="0"/>
    <n v="0"/>
    <n v="0"/>
    <m/>
    <m/>
    <m/>
    <m/>
    <m/>
    <m/>
    <m/>
    <m/>
    <m/>
    <m/>
    <m/>
    <m/>
    <m/>
    <m/>
    <m/>
    <m/>
    <m/>
    <m/>
    <m/>
    <m/>
    <m/>
    <m/>
    <m/>
    <m/>
    <m/>
  </r>
  <r>
    <n v="1"/>
    <s v="Promote low-cost &amp; energy saving small-scale irrigation systems (solar powered drip kits)"/>
    <x v="1"/>
    <s v="# of units"/>
    <s v="units"/>
    <n v="1"/>
    <n v="5"/>
    <n v="2300000"/>
    <n v="181559.83580675718"/>
    <n v="199715.81938743292"/>
    <n v="181559.83580675718"/>
    <n v="9077.9917903378591"/>
    <n v="9077.9917903378591"/>
    <x v="1"/>
    <m/>
    <m/>
    <s v="Subcomponent 1 - Access to affordable inputs and basic assets"/>
    <x v="1"/>
    <n v="0.90909090909090906"/>
    <n v="4.5454545454545449E-2"/>
    <n v="4.5454545454545449E-2"/>
    <n v="181559.83580675718"/>
    <n v="9077.9917903378591"/>
    <n v="9077.9917903378591"/>
    <m/>
    <n v="1"/>
    <n v="0"/>
    <n v="0"/>
    <n v="181559.83580675718"/>
    <n v="0"/>
    <m/>
    <m/>
    <m/>
    <m/>
    <m/>
    <m/>
    <m/>
    <m/>
    <m/>
    <m/>
    <m/>
    <n v="5"/>
    <m/>
    <m/>
    <m/>
    <m/>
    <m/>
    <m/>
    <m/>
    <m/>
    <m/>
    <m/>
    <m/>
    <m/>
    <m/>
  </r>
  <r>
    <m/>
    <m/>
    <x v="0"/>
    <m/>
    <s v=""/>
    <m/>
    <m/>
    <m/>
    <n v="0"/>
    <n v="0"/>
    <n v="0"/>
    <m/>
    <m/>
    <x v="0"/>
    <m/>
    <m/>
    <m/>
    <x v="0"/>
    <n v="0"/>
    <n v="0"/>
    <n v="0"/>
    <n v="0"/>
    <n v="0"/>
    <n v="0"/>
    <m/>
    <m/>
    <n v="1"/>
    <n v="0"/>
    <n v="0"/>
    <n v="0"/>
    <m/>
    <m/>
    <m/>
    <m/>
    <m/>
    <m/>
    <m/>
    <m/>
    <m/>
    <m/>
    <m/>
    <m/>
    <m/>
    <m/>
    <m/>
    <m/>
    <m/>
    <m/>
    <m/>
    <m/>
    <m/>
    <m/>
    <m/>
    <m/>
    <m/>
  </r>
  <r>
    <s v="F"/>
    <s v="Small scale acquaculture facilities, equipment and inputs"/>
    <x v="1"/>
    <m/>
    <s v=""/>
    <m/>
    <m/>
    <m/>
    <n v="0"/>
    <n v="0"/>
    <n v="0"/>
    <m/>
    <m/>
    <x v="0"/>
    <m/>
    <m/>
    <m/>
    <x v="0"/>
    <n v="0"/>
    <n v="0"/>
    <n v="0"/>
    <n v="0"/>
    <n v="0"/>
    <n v="0"/>
    <m/>
    <m/>
    <n v="1"/>
    <n v="0"/>
    <n v="0"/>
    <n v="0"/>
    <m/>
    <m/>
    <m/>
    <m/>
    <m/>
    <m/>
    <m/>
    <m/>
    <m/>
    <m/>
    <m/>
    <m/>
    <m/>
    <m/>
    <m/>
    <m/>
    <m/>
    <m/>
    <m/>
    <m/>
    <m/>
    <m/>
    <m/>
    <m/>
    <m/>
  </r>
  <r>
    <n v="1"/>
    <s v="Installation of floating fish cages in Nampula"/>
    <x v="1"/>
    <s v="# of floating cages installed"/>
    <s v="units"/>
    <n v="1"/>
    <n v="50"/>
    <n v="180000"/>
    <n v="142090.30628354909"/>
    <n v="163403.85222608145"/>
    <n v="142090.30628354909"/>
    <n v="14209.030628354909"/>
    <n v="7104.5153141774545"/>
    <x v="1"/>
    <m/>
    <m/>
    <s v="Subcomponent 1 - Access to affordable inputs and basic assets"/>
    <x v="2"/>
    <n v="0.86956521739130432"/>
    <n v="8.6956521739130432E-2"/>
    <n v="4.3478260869565216E-2"/>
    <n v="142090.30628354909"/>
    <n v="14209.030628354909"/>
    <n v="7104.5153141774545"/>
    <m/>
    <m/>
    <n v="1"/>
    <n v="0"/>
    <n v="0"/>
    <n v="142090.30628354909"/>
    <m/>
    <m/>
    <m/>
    <m/>
    <m/>
    <m/>
    <m/>
    <m/>
    <m/>
    <m/>
    <n v="10"/>
    <m/>
    <m/>
    <n v="20"/>
    <n v="20"/>
    <n v="25"/>
    <m/>
    <m/>
    <m/>
    <m/>
    <m/>
    <m/>
    <m/>
    <m/>
    <m/>
  </r>
  <r>
    <n v="2"/>
    <s v="Finalize feed processing facility in Lichinga"/>
    <x v="1"/>
    <s v="Processing facilities constructed/rehabilitated"/>
    <s v="facilities"/>
    <n v="1"/>
    <n v="1"/>
    <n v="2578062.5"/>
    <n v="40701.96558257025"/>
    <n v="48842.358699084303"/>
    <n v="40701.96558257025"/>
    <n v="4070.1965582570251"/>
    <n v="4070.1965582570251"/>
    <x v="1"/>
    <m/>
    <m/>
    <s v="Subcomponent 1 - Access to affordable inputs and basic assets"/>
    <x v="2"/>
    <n v="0.83333333333333326"/>
    <n v="8.3333333333333329E-2"/>
    <n v="8.3333333333333329E-2"/>
    <n v="40701.96558257025"/>
    <n v="4070.1965582570251"/>
    <n v="4070.1965582570251"/>
    <m/>
    <m/>
    <n v="1"/>
    <n v="0"/>
    <n v="0"/>
    <n v="40701.96558257025"/>
    <m/>
    <m/>
    <m/>
    <m/>
    <m/>
    <m/>
    <m/>
    <m/>
    <m/>
    <m/>
    <n v="0"/>
    <m/>
    <m/>
    <n v="0"/>
    <m/>
    <n v="0"/>
    <m/>
    <n v="1"/>
    <m/>
    <m/>
    <m/>
    <m/>
    <m/>
    <m/>
    <m/>
  </r>
  <r>
    <n v="3"/>
    <s v="Rehabilitation and expansion of climate resilient fish ponds in Milange and Ribáue"/>
    <x v="1"/>
    <s v="Fishponds constructed/rehabilitated"/>
    <s v="ponds"/>
    <n v="1"/>
    <n v="60"/>
    <n v="84613.333333333328"/>
    <n v="80151.562993369109"/>
    <n v="104197.03189137985"/>
    <n v="80151.562993369109"/>
    <n v="8015.1562993369116"/>
    <n v="16030.312598673823"/>
    <x v="1"/>
    <m/>
    <m/>
    <s v="Subcomponent 1 - Access to affordable inputs and basic assets"/>
    <x v="2"/>
    <n v="0.76923076923076916"/>
    <n v="7.6923076923076913E-2"/>
    <n v="0.15384615384615383"/>
    <n v="80151.562993369109"/>
    <n v="8015.1562993369107"/>
    <n v="16030.312598673821"/>
    <m/>
    <m/>
    <n v="1"/>
    <n v="0"/>
    <n v="0"/>
    <n v="80151.562993369109"/>
    <m/>
    <m/>
    <m/>
    <m/>
    <m/>
    <m/>
    <m/>
    <m/>
    <m/>
    <m/>
    <n v="15"/>
    <m/>
    <m/>
    <n v="0"/>
    <m/>
    <n v="15"/>
    <m/>
    <n v="60"/>
    <m/>
    <m/>
    <m/>
    <m/>
    <m/>
    <m/>
    <m/>
  </r>
  <r>
    <n v="4"/>
    <s v="Supply of acquaculture inputs in Zambézia, Niassa and Nampula"/>
    <x v="1"/>
    <s v="# of households assessing inputs and/or technological packages"/>
    <s v="households"/>
    <n v="1"/>
    <n v="900"/>
    <n v="105.105625"/>
    <n v="149344.90448373856"/>
    <n v="164279.39493211239"/>
    <n v="149344.90448373856"/>
    <n v="7467.2452241869287"/>
    <n v="7467.2452241869287"/>
    <x v="1"/>
    <m/>
    <m/>
    <s v="Subcomponent 1 - Access to affordable inputs and basic assets"/>
    <x v="1"/>
    <n v="0.90909090909090917"/>
    <n v="4.5454545454545463E-2"/>
    <n v="4.5454545454545463E-2"/>
    <n v="149344.90448373856"/>
    <n v="7467.2452241869287"/>
    <n v="7467.2452241869287"/>
    <m/>
    <m/>
    <n v="1"/>
    <n v="0"/>
    <n v="0"/>
    <n v="149344.90448373856"/>
    <m/>
    <m/>
    <m/>
    <m/>
    <m/>
    <m/>
    <m/>
    <m/>
    <m/>
    <m/>
    <m/>
    <m/>
    <m/>
    <n v="300"/>
    <m/>
    <n v="300"/>
    <n v="300"/>
    <m/>
    <m/>
    <m/>
    <m/>
    <m/>
    <m/>
    <m/>
    <m/>
  </r>
  <r>
    <n v="6"/>
    <s v="Alocate feed processing kits to smallholder fish farmers"/>
    <x v="1"/>
    <s v="Processing facilities constructed/rehabilitated"/>
    <s v="facilities"/>
    <n v="1"/>
    <n v="2"/>
    <n v="22805.9375"/>
    <n v="720.1116987685507"/>
    <n v="792.12286864540579"/>
    <n v="720.1116987685507"/>
    <n v="36.005584938427539"/>
    <n v="36.005584938427539"/>
    <x v="1"/>
    <m/>
    <m/>
    <s v="Subcomponent 1 - Access to affordable inputs and basic assets"/>
    <x v="1"/>
    <n v="0.90909090909090906"/>
    <n v="4.5454545454545456E-2"/>
    <n v="4.5454545454545456E-2"/>
    <n v="720.1116987685507"/>
    <n v="36.005584938427539"/>
    <n v="36.005584938427539"/>
    <m/>
    <m/>
    <n v="1"/>
    <n v="0"/>
    <n v="0"/>
    <n v="720.1116987685507"/>
    <m/>
    <m/>
    <m/>
    <m/>
    <m/>
    <m/>
    <m/>
    <m/>
    <m/>
    <m/>
    <m/>
    <m/>
    <m/>
    <m/>
    <n v="4"/>
    <m/>
    <m/>
    <m/>
    <m/>
    <m/>
    <m/>
    <m/>
    <m/>
    <m/>
    <m/>
  </r>
  <r>
    <n v="7"/>
    <s v="Train extension officers on fish production"/>
    <x v="1"/>
    <s v="# of public and private entities staff trained"/>
    <s v="staff"/>
    <n v="1"/>
    <n v="30"/>
    <n v="400670.57500000001"/>
    <n v="18977.134906851912"/>
    <n v="24561.993734031559"/>
    <n v="18977.134906851912"/>
    <n v="5584.8588271796471"/>
    <m/>
    <x v="1"/>
    <m/>
    <m/>
    <s v="Subcomponent 1 - Access to affordable inputs and basic assets"/>
    <x v="3"/>
    <n v="0.77262192606776803"/>
    <n v="0.227378073932232"/>
    <n v="0"/>
    <n v="18977.134906851912"/>
    <n v="5584.8588271796471"/>
    <n v="0"/>
    <m/>
    <m/>
    <n v="1"/>
    <n v="0"/>
    <n v="0"/>
    <n v="18977.134906851912"/>
    <m/>
    <m/>
    <m/>
    <m/>
    <m/>
    <m/>
    <m/>
    <m/>
    <m/>
    <m/>
    <m/>
    <m/>
    <m/>
    <m/>
    <m/>
    <n v="30"/>
    <m/>
    <m/>
    <m/>
    <m/>
    <m/>
    <m/>
    <m/>
    <m/>
    <m/>
  </r>
  <r>
    <n v="8"/>
    <s v="Train fish farmers on fish production"/>
    <x v="1"/>
    <s v="# of producers trained on sustainable production practices"/>
    <s v="producers"/>
    <n v="1"/>
    <n v="90"/>
    <n v="79325"/>
    <n v="3757.1045153141772"/>
    <n v="9341.9633424938238"/>
    <n v="3757.1045153141772"/>
    <n v="5584.8588271796471"/>
    <m/>
    <x v="1"/>
    <m/>
    <m/>
    <s v="Subcomponent 1 - Access to affordable inputs and basic assets"/>
    <x v="3"/>
    <n v="0.40217504367890439"/>
    <n v="0.59782495632109567"/>
    <n v="0"/>
    <n v="3757.1045153141772"/>
    <n v="5584.8588271796471"/>
    <n v="0"/>
    <m/>
    <m/>
    <n v="1"/>
    <n v="0"/>
    <n v="0"/>
    <n v="3757.1045153141772"/>
    <m/>
    <m/>
    <m/>
    <m/>
    <m/>
    <m/>
    <m/>
    <m/>
    <m/>
    <m/>
    <m/>
    <m/>
    <m/>
    <m/>
    <m/>
    <m/>
    <n v="90"/>
    <m/>
    <m/>
    <m/>
    <m/>
    <m/>
    <m/>
    <m/>
    <m/>
  </r>
  <r>
    <n v="9"/>
    <s v="Allocate fish handling and conservation kits (isothermal crates, scales, nives and others)"/>
    <x v="1"/>
    <s v="People receiving enterpreneurship kits"/>
    <s v="producers"/>
    <n v="1"/>
    <n v="50"/>
    <n v="19831.25"/>
    <n v="15654.602147142405"/>
    <n v="17220.062361856646"/>
    <n v="15654.602147142405"/>
    <n v="782.73010735712023"/>
    <n v="782.73010735712023"/>
    <x v="1"/>
    <m/>
    <m/>
    <s v="Subcomponent 1 - Access to affordable inputs and basic assets"/>
    <x v="1"/>
    <n v="0.90909090909090906"/>
    <n v="4.5454545454545449E-2"/>
    <n v="4.5454545454545449E-2"/>
    <n v="15654.602147142405"/>
    <n v="782.73010735712023"/>
    <n v="782.73010735712023"/>
    <m/>
    <m/>
    <n v="1"/>
    <n v="0"/>
    <n v="0"/>
    <n v="15654.602147142405"/>
    <m/>
    <m/>
    <m/>
    <m/>
    <m/>
    <m/>
    <m/>
    <m/>
    <m/>
    <m/>
    <m/>
    <m/>
    <m/>
    <m/>
    <m/>
    <m/>
    <m/>
    <m/>
    <n v="50"/>
    <m/>
    <m/>
    <m/>
    <m/>
    <m/>
    <m/>
  </r>
  <r>
    <m/>
    <m/>
    <x v="0"/>
    <m/>
    <s v=""/>
    <m/>
    <m/>
    <m/>
    <n v="0"/>
    <n v="0"/>
    <n v="0"/>
    <m/>
    <m/>
    <x v="0"/>
    <m/>
    <m/>
    <m/>
    <x v="0"/>
    <n v="0"/>
    <n v="0"/>
    <n v="0"/>
    <n v="0"/>
    <n v="0"/>
    <n v="0"/>
    <m/>
    <m/>
    <n v="1"/>
    <n v="0"/>
    <n v="0"/>
    <n v="0"/>
    <m/>
    <m/>
    <m/>
    <m/>
    <m/>
    <m/>
    <m/>
    <m/>
    <m/>
    <m/>
    <m/>
    <m/>
    <m/>
    <m/>
    <m/>
    <m/>
    <m/>
    <m/>
    <m/>
    <m/>
    <m/>
    <m/>
    <m/>
    <m/>
    <m/>
  </r>
  <r>
    <m/>
    <s v="SUBCOMPONENT  2 - ACCESS TO SHORT-TERM FINANCE"/>
    <x v="0"/>
    <m/>
    <s v=""/>
    <m/>
    <m/>
    <m/>
    <m/>
    <n v="1638840.6483528048"/>
    <n v="1555099.4632143984"/>
    <n v="56112.514472160838"/>
    <n v="27628.670666245656"/>
    <x v="0"/>
    <m/>
    <m/>
    <m/>
    <x v="0"/>
    <m/>
    <m/>
    <m/>
    <n v="1555099.4632143984"/>
    <n v="56112.514472160838"/>
    <n v="27628.670666245656"/>
    <n v="3"/>
    <n v="0"/>
    <n v="1"/>
    <n v="1002526.0498894854"/>
    <n v="0"/>
    <n v="552573.41332491313"/>
    <n v="0"/>
    <n v="0"/>
    <n v="0"/>
    <n v="0"/>
    <n v="0"/>
    <n v="0"/>
    <n v="0"/>
    <n v="0"/>
    <m/>
    <m/>
    <m/>
    <m/>
    <m/>
    <m/>
    <n v="0"/>
    <m/>
    <m/>
    <m/>
    <m/>
    <m/>
    <m/>
    <m/>
    <m/>
    <m/>
    <m/>
  </r>
  <r>
    <s v="A"/>
    <s v="Establish a line of credit for operating costs (inputs for outgrower schemes and FO)"/>
    <x v="2"/>
    <s v="# of FO and MSMEs supported"/>
    <s v="entities"/>
    <n v="1"/>
    <n v="100"/>
    <n v="490000"/>
    <n v="773602.77865487838"/>
    <n v="812282.9175876223"/>
    <n v="773602.77865487838"/>
    <n v="38680.138932743917"/>
    <m/>
    <x v="1"/>
    <m/>
    <m/>
    <s v="Subcomponent 2 - Access to short-term finance"/>
    <x v="4"/>
    <n v="0.95238095238095233"/>
    <n v="4.7619047619047616E-2"/>
    <n v="0"/>
    <n v="773602.77865487838"/>
    <n v="38680.138932743917"/>
    <n v="0"/>
    <n v="1"/>
    <m/>
    <n v="0"/>
    <n v="773602.77865487838"/>
    <n v="0"/>
    <n v="0"/>
    <m/>
    <m/>
    <m/>
    <m/>
    <m/>
    <m/>
    <m/>
    <m/>
    <m/>
    <m/>
    <n v="10"/>
    <m/>
    <m/>
    <n v="20"/>
    <n v="20"/>
    <n v="25"/>
    <m/>
    <n v="25"/>
    <m/>
    <m/>
    <m/>
    <m/>
    <m/>
    <m/>
    <m/>
  </r>
  <r>
    <s v="B"/>
    <s v="Establish a line of credit for small-scale investments (farm mechanization, value-addition, transportation &amp; marketing)"/>
    <x v="2"/>
    <s v="# of FO and MSMEs supported"/>
    <s v="entities"/>
    <n v="1"/>
    <n v="45"/>
    <n v="250000"/>
    <n v="177612.88285443638"/>
    <n v="186493.52699715819"/>
    <n v="177612.88285443638"/>
    <n v="8880.6441427218197"/>
    <m/>
    <x v="1"/>
    <m/>
    <m/>
    <s v="Subcomponent 2 - Access to short-term finance"/>
    <x v="4"/>
    <n v="0.95238095238095244"/>
    <n v="4.7619047619047623E-2"/>
    <n v="0"/>
    <n v="177612.88285443638"/>
    <n v="8880.6441427218197"/>
    <n v="0"/>
    <n v="1"/>
    <m/>
    <n v="0"/>
    <n v="177612.88285443638"/>
    <n v="0"/>
    <n v="0"/>
    <m/>
    <m/>
    <m/>
    <m/>
    <m/>
    <m/>
    <m/>
    <m/>
    <m/>
    <m/>
    <m/>
    <n v="11"/>
    <m/>
    <m/>
    <n v="11"/>
    <m/>
    <n v="11"/>
    <m/>
    <n v="12"/>
    <m/>
    <m/>
    <m/>
    <m/>
    <m/>
    <m/>
  </r>
  <r>
    <s v="C"/>
    <s v="Support to FO and MSMEs on business proposal writting and fundraising"/>
    <x v="2"/>
    <s v="# of FO and MSMEs supported"/>
    <s v="entities"/>
    <n v="1"/>
    <n v="65"/>
    <n v="50000"/>
    <n v="51310.388380170509"/>
    <n v="59862.119776865613"/>
    <n v="51310.388380170509"/>
    <n v="8551.7313966951006"/>
    <m/>
    <x v="1"/>
    <m/>
    <m/>
    <s v="Subcomponent 2 - Access to short-term finance"/>
    <x v="2"/>
    <n v="0.85714285714285687"/>
    <n v="0.14285714285714307"/>
    <n v="0"/>
    <n v="51310.388380170509"/>
    <n v="8551.7313966951006"/>
    <n v="0"/>
    <n v="1"/>
    <m/>
    <n v="0"/>
    <n v="51310.388380170509"/>
    <n v="0"/>
    <n v="0"/>
    <m/>
    <m/>
    <m/>
    <m/>
    <m/>
    <m/>
    <m/>
    <m/>
    <m/>
    <m/>
    <m/>
    <m/>
    <m/>
    <m/>
    <m/>
    <m/>
    <m/>
    <m/>
    <m/>
    <m/>
    <m/>
    <m/>
    <m/>
    <m/>
    <m/>
  </r>
  <r>
    <s v="D"/>
    <s v="Co-finance fish farming inputs, post-harvest handling, feed processing facilities and equipment and others"/>
    <x v="2"/>
    <s v="Business proposals financed"/>
    <s v=""/>
    <n v="1"/>
    <n v="70"/>
    <n v="500000"/>
    <n v="552573.41332491313"/>
    <n v="580202.08399115875"/>
    <n v="552573.41332491313"/>
    <m/>
    <n v="27628.670666245656"/>
    <x v="1"/>
    <m/>
    <m/>
    <s v="Subcomponent 2 - Access to short-term finance"/>
    <x v="4"/>
    <n v="0.95238095238095244"/>
    <n v="0"/>
    <n v="4.7619047619047623E-2"/>
    <n v="552573.41332491313"/>
    <n v="0"/>
    <n v="27628.670666245656"/>
    <m/>
    <m/>
    <n v="1"/>
    <n v="0"/>
    <n v="0"/>
    <n v="552573.41332491313"/>
    <m/>
    <m/>
    <m/>
    <m/>
    <m/>
    <m/>
    <m/>
    <m/>
    <m/>
    <m/>
    <m/>
    <n v="18"/>
    <m/>
    <m/>
    <n v="18"/>
    <m/>
    <n v="18"/>
    <m/>
    <n v="16"/>
    <m/>
    <m/>
    <m/>
    <m/>
    <m/>
    <m/>
  </r>
  <r>
    <m/>
    <m/>
    <x v="0"/>
    <m/>
    <s v=""/>
    <m/>
    <m/>
    <m/>
    <n v="0"/>
    <n v="0"/>
    <n v="0"/>
    <m/>
    <m/>
    <x v="0"/>
    <m/>
    <m/>
    <m/>
    <x v="0"/>
    <n v="0"/>
    <n v="0"/>
    <n v="0"/>
    <n v="0"/>
    <n v="0"/>
    <n v="0"/>
    <m/>
    <m/>
    <n v="1"/>
    <n v="0"/>
    <n v="0"/>
    <n v="0"/>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5AC5CC-170C-4E79-8EE1-F1A89C3A4B4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bcomponents">
  <location ref="A3:E8" firstHeaderRow="0" firstDataRow="1" firstDataCol="1"/>
  <pivotFields count="19">
    <pivotField showAll="0"/>
    <pivotField showAll="0"/>
    <pivotField showAll="0"/>
    <pivotField showAll="0"/>
    <pivotField showAll="0"/>
    <pivotField showAll="0"/>
    <pivotField showAll="0"/>
    <pivotField dataField="1" numFmtId="164" showAll="0"/>
    <pivotField showAll="0"/>
    <pivotField showAll="0"/>
    <pivotField showAll="0"/>
    <pivotField axis="axisRow" showAll="0" sortType="ascending">
      <items count="6">
        <item x="1"/>
        <item x="2"/>
        <item x="3"/>
        <item x="4"/>
        <item h="1" x="0"/>
        <item t="default"/>
      </items>
    </pivotField>
    <pivotField showAll="0">
      <items count="6">
        <item x="4"/>
        <item x="3"/>
        <item x="1"/>
        <item x="2"/>
        <item h="1" x="0"/>
        <item t="default"/>
      </items>
    </pivotField>
    <pivotField showAll="0"/>
    <pivotField showAll="0"/>
    <pivotField showAll="0"/>
    <pivotField dataField="1" numFmtId="164" showAll="0"/>
    <pivotField dataField="1" numFmtId="164" showAll="0"/>
    <pivotField dataField="1" numFmtId="164" showAll="0"/>
  </pivotFields>
  <rowFields count="1">
    <field x="11"/>
  </rowFields>
  <rowItems count="5">
    <i>
      <x/>
    </i>
    <i>
      <x v="1"/>
    </i>
    <i>
      <x v="2"/>
    </i>
    <i>
      <x v="3"/>
    </i>
    <i t="grand">
      <x/>
    </i>
  </rowItems>
  <colFields count="1">
    <field x="-2"/>
  </colFields>
  <colItems count="4">
    <i>
      <x/>
    </i>
    <i i="1">
      <x v="1"/>
    </i>
    <i i="2">
      <x v="2"/>
    </i>
    <i i="3">
      <x v="3"/>
    </i>
  </colItems>
  <dataFields count="4">
    <dataField name="Sum of CRI (MZN)" fld="16" baseField="0" baseItem="0"/>
    <dataField name="Sum of Government (MZN)" fld="17" baseField="0" baseItem="0"/>
    <dataField name="Sum of Beneficiaries (MZN)" fld="18" baseField="0" baseItem="0"/>
    <dataField name="Sum of Cost" fld="7" baseField="0" baseItem="0" numFmtId="164"/>
  </dataFields>
  <formats count="19">
    <format dxfId="249">
      <pivotArea outline="0" collapsedLevelsAreSubtotals="1" fieldPosition="0"/>
    </format>
    <format dxfId="248">
      <pivotArea type="topRight" dataOnly="0" labelOnly="1" outline="0" fieldPosition="0"/>
    </format>
    <format dxfId="247">
      <pivotArea dataOnly="0" labelOnly="1" grandCol="1" outline="0" fieldPosition="0"/>
    </format>
    <format dxfId="246">
      <pivotArea field="11" type="button" dataOnly="0" labelOnly="1" outline="0" axis="axisRow" fieldPosition="0"/>
    </format>
    <format dxfId="245">
      <pivotArea dataOnly="0" labelOnly="1" grandCol="1" outline="0" fieldPosition="0"/>
    </format>
    <format dxfId="244">
      <pivotArea dataOnly="0" labelOnly="1" grandCol="1" outline="0" fieldPosition="0"/>
    </format>
    <format dxfId="243">
      <pivotArea outline="0" collapsedLevelsAreSubtotals="1" fieldPosition="0"/>
    </format>
    <format dxfId="242">
      <pivotArea outline="0" collapsedLevelsAreSubtotals="1" fieldPosition="0"/>
    </format>
    <format dxfId="241">
      <pivotArea dataOnly="0" labelOnly="1" outline="0" fieldPosition="0">
        <references count="1">
          <reference field="4294967294" count="4">
            <x v="0"/>
            <x v="1"/>
            <x v="2"/>
            <x v="3"/>
          </reference>
        </references>
      </pivotArea>
    </format>
    <format dxfId="240">
      <pivotArea dataOnly="0" labelOnly="1" outline="0" fieldPosition="0">
        <references count="1">
          <reference field="4294967294" count="4">
            <x v="0"/>
            <x v="1"/>
            <x v="2"/>
            <x v="3"/>
          </reference>
        </references>
      </pivotArea>
    </format>
    <format dxfId="239">
      <pivotArea field="11" type="button" dataOnly="0" labelOnly="1" outline="0" axis="axisRow" fieldPosition="0"/>
    </format>
    <format dxfId="238">
      <pivotArea type="all" dataOnly="0" outline="0" fieldPosition="0"/>
    </format>
    <format dxfId="237">
      <pivotArea outline="0" collapsedLevelsAreSubtotals="1" fieldPosition="0"/>
    </format>
    <format dxfId="236">
      <pivotArea field="11" type="button" dataOnly="0" labelOnly="1" outline="0" axis="axisRow" fieldPosition="0"/>
    </format>
    <format dxfId="235">
      <pivotArea dataOnly="0" labelOnly="1" grandRow="1" outline="0" fieldPosition="0"/>
    </format>
    <format dxfId="234">
      <pivotArea dataOnly="0" labelOnly="1" outline="0" fieldPosition="0">
        <references count="1">
          <reference field="4294967294" count="4">
            <x v="0"/>
            <x v="1"/>
            <x v="2"/>
            <x v="3"/>
          </reference>
        </references>
      </pivotArea>
    </format>
    <format dxfId="233">
      <pivotArea field="12" type="button" dataOnly="0" labelOnly="1" outline="0"/>
    </format>
    <format dxfId="232">
      <pivotArea outline="0" collapsedLevelsAreSubtotals="1" fieldPosition="0">
        <references count="1">
          <reference field="4294967294" count="1" selected="0">
            <x v="0"/>
          </reference>
        </references>
      </pivotArea>
    </format>
    <format dxfId="23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F013A7-E8C2-4566-AD1C-188CC9FD261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bcomponents">
  <location ref="A3:E6" firstHeaderRow="0" firstDataRow="1" firstDataCol="1"/>
  <pivotFields count="55">
    <pivotField showAll="0"/>
    <pivotField showAll="0"/>
    <pivotField axis="axisRow" showAll="0">
      <items count="4">
        <item x="1"/>
        <item x="2"/>
        <item h="1" x="0"/>
        <item t="default"/>
      </items>
    </pivotField>
    <pivotField showAll="0"/>
    <pivotField showAll="0"/>
    <pivotField showAll="0"/>
    <pivotField showAll="0"/>
    <pivotField showAll="0"/>
    <pivotField showAll="0"/>
    <pivotField dataField="1" numFmtId="4" showAll="0"/>
    <pivotField dataField="1" numFmtId="4" showAll="0"/>
    <pivotField dataField="1" showAll="0"/>
    <pivotField dataField="1" showAll="0"/>
    <pivotField showAll="0"/>
    <pivotField showAll="0"/>
    <pivotField showAll="0"/>
    <pivotField showAll="0"/>
    <pivotField multipleItemSelectionAllowed="1" showAll="0">
      <items count="6">
        <item x="2"/>
        <item x="1"/>
        <item x="4"/>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Fields count="1">
    <field x="-2"/>
  </colFields>
  <colItems count="4">
    <i>
      <x/>
    </i>
    <i i="1">
      <x v="1"/>
    </i>
    <i i="2">
      <x v="2"/>
    </i>
    <i i="3">
      <x v="3"/>
    </i>
  </colItems>
  <dataFields count="4">
    <dataField name="Sum of CRI Financing (US$)" fld="10" baseField="0" baseItem="0"/>
    <dataField name="Sum of GoM (US$)" fld="11" baseField="0" baseItem="0"/>
    <dataField name="Sum of Beneficiaries (US$)" fld="12" baseField="0" baseItem="0"/>
    <dataField name="TOTAL COST (US$)" fld="9" baseField="2" baseItem="0"/>
  </dataFields>
  <formats count="13">
    <format dxfId="230">
      <pivotArea outline="0" collapsedLevelsAreSubtotals="1" fieldPosition="0"/>
    </format>
    <format dxfId="229">
      <pivotArea type="all" dataOnly="0" outline="0" fieldPosition="0"/>
    </format>
    <format dxfId="228">
      <pivotArea outline="0" collapsedLevelsAreSubtotals="1" fieldPosition="0"/>
    </format>
    <format dxfId="227">
      <pivotArea field="2" type="button" dataOnly="0" labelOnly="1" outline="0" axis="axisRow" fieldPosition="0"/>
    </format>
    <format dxfId="226">
      <pivotArea dataOnly="0" labelOnly="1" grandRow="1" outline="0" fieldPosition="0"/>
    </format>
    <format dxfId="225">
      <pivotArea dataOnly="0" labelOnly="1" outline="0" fieldPosition="0">
        <references count="1">
          <reference field="4294967294" count="1">
            <x v="3"/>
          </reference>
        </references>
      </pivotArea>
    </format>
    <format dxfId="224">
      <pivotArea outline="0" collapsedLevelsAreSubtotals="1" fieldPosition="0"/>
    </format>
    <format dxfId="223">
      <pivotArea field="17" type="button" dataOnly="0" labelOnly="1" outline="0"/>
    </format>
    <format dxfId="222">
      <pivotArea dataOnly="0" labelOnly="1" grandRow="1" outline="0" fieldPosition="0"/>
    </format>
    <format dxfId="221">
      <pivotArea outline="0" collapsedLevelsAreSubtotals="1" fieldPosition="0"/>
    </format>
    <format dxfId="220">
      <pivotArea dataOnly="0" labelOnly="1" outline="0" fieldPosition="0">
        <references count="1">
          <reference field="4294967294" count="1">
            <x v="3"/>
          </reference>
        </references>
      </pivotArea>
    </format>
    <format dxfId="219">
      <pivotArea outline="0" collapsedLevelsAreSubtotals="1" fieldPosition="0"/>
    </format>
    <format dxfId="218">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7CA4E3-84A1-45A0-9DC4-7A8C583CB13C}"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0:G43" firstHeaderRow="0" firstDataRow="1" firstDataCol="1" rowPageCount="1" colPageCount="1"/>
  <pivotFields count="55">
    <pivotField showAll="0"/>
    <pivotField showAll="0"/>
    <pivotField axis="axisRow" showAll="0">
      <items count="4">
        <item x="1"/>
        <item x="2"/>
        <item h="1" x="0"/>
        <item t="default"/>
      </items>
    </pivotField>
    <pivotField showAll="0"/>
    <pivotField showAll="0"/>
    <pivotField showAll="0"/>
    <pivotField showAll="0"/>
    <pivotField showAll="0"/>
    <pivotField showAll="0"/>
    <pivotField dataField="1" numFmtId="4" showAll="0"/>
    <pivotField numFmtId="4" showAll="0"/>
    <pivotField dataField="1" showAll="0"/>
    <pivotField dataField="1" showAll="0"/>
    <pivotField axis="axisPage" multipleItemSelectionAllowed="1" showAll="0">
      <items count="3">
        <item x="1"/>
        <item h="1" x="0"/>
        <item t="default"/>
      </items>
    </pivotField>
    <pivotField showAll="0"/>
    <pivotField showAll="0"/>
    <pivotField showAll="0"/>
    <pivotField showAll="0">
      <items count="6">
        <item x="2"/>
        <item x="1"/>
        <item x="4"/>
        <item x="3"/>
        <item x="0"/>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Fields count="1">
    <field x="-2"/>
  </colFields>
  <colItems count="6">
    <i>
      <x/>
    </i>
    <i i="1">
      <x v="1"/>
    </i>
    <i i="2">
      <x v="2"/>
    </i>
    <i i="3">
      <x v="3"/>
    </i>
    <i i="4">
      <x v="4"/>
    </i>
    <i i="5">
      <x v="5"/>
    </i>
  </colItems>
  <pageFields count="1">
    <pageField fld="13" hier="-1"/>
  </pageFields>
  <dataFields count="6">
    <dataField name=" REFP (US$)" fld="27" baseField="2" baseItem="0"/>
    <dataField name=" PROCAVA  (US$)" fld="28" baseField="2" baseItem="0"/>
    <dataField name=" PRODAPE  (US$)" fld="29" baseField="2" baseItem="0"/>
    <dataField name=" Beneficiaries (US$)" fld="12" baseField="2" baseItem="0"/>
    <dataField name=" GoM (US$)" fld="11" baseField="2" baseItem="0"/>
    <dataField name="Total" fld="9" baseField="17" baseItem="0"/>
  </dataFields>
  <formats count="24">
    <format dxfId="143">
      <pivotArea outline="0" collapsedLevelsAreSubtotals="1" fieldPosition="0"/>
    </format>
    <format dxfId="142">
      <pivotArea outline="0" collapsedLevelsAreSubtotals="1" fieldPosition="0"/>
    </format>
    <format dxfId="141">
      <pivotArea dataOnly="0" labelOnly="1" outline="0" fieldPosition="0">
        <references count="1">
          <reference field="4294967294" count="1">
            <x v="5"/>
          </reference>
        </references>
      </pivotArea>
    </format>
    <format dxfId="140">
      <pivotArea outline="0" collapsedLevelsAreSubtotals="1" fieldPosition="0"/>
    </format>
    <format dxfId="139">
      <pivotArea dataOnly="0" labelOnly="1" outline="0" fieldPosition="0">
        <references count="1">
          <reference field="4294967294" count="1">
            <x v="5"/>
          </reference>
        </references>
      </pivotArea>
    </format>
    <format dxfId="138">
      <pivotArea type="all" dataOnly="0" outline="0" fieldPosition="0"/>
    </format>
    <format dxfId="137">
      <pivotArea outline="0" collapsedLevelsAreSubtotals="1" fieldPosition="0"/>
    </format>
    <format dxfId="136">
      <pivotArea field="17" type="button" dataOnly="0" labelOnly="1" outline="0"/>
    </format>
    <format dxfId="135">
      <pivotArea dataOnly="0" labelOnly="1" grandRow="1" outline="0" fieldPosition="0"/>
    </format>
    <format dxfId="134">
      <pivotArea dataOnly="0" labelOnly="1" outline="0" fieldPosition="0">
        <references count="1">
          <reference field="4294967294" count="1">
            <x v="5"/>
          </reference>
        </references>
      </pivotArea>
    </format>
    <format dxfId="133">
      <pivotArea type="all" dataOnly="0" outline="0" fieldPosition="0"/>
    </format>
    <format dxfId="132">
      <pivotArea outline="0" collapsedLevelsAreSubtotals="1" fieldPosition="0"/>
    </format>
    <format dxfId="131">
      <pivotArea field="2" type="button" dataOnly="0" labelOnly="1" outline="0" axis="axisRow" fieldPosition="0"/>
    </format>
    <format dxfId="130">
      <pivotArea dataOnly="0" labelOnly="1" fieldPosition="0">
        <references count="1">
          <reference field="2" count="0"/>
        </references>
      </pivotArea>
    </format>
    <format dxfId="129">
      <pivotArea dataOnly="0" labelOnly="1" grandRow="1" outline="0" fieldPosition="0"/>
    </format>
    <format dxfId="128">
      <pivotArea dataOnly="0" labelOnly="1" outline="0" fieldPosition="0">
        <references count="1">
          <reference field="4294967294" count="1">
            <x v="5"/>
          </reference>
        </references>
      </pivotArea>
    </format>
    <format dxfId="127">
      <pivotArea outline="0" collapsedLevelsAreSubtotals="1" fieldPosition="0"/>
    </format>
    <format dxfId="126">
      <pivotArea dataOnly="0" labelOnly="1" outline="0" fieldPosition="0">
        <references count="1">
          <reference field="13" count="0"/>
        </references>
      </pivotArea>
    </format>
    <format dxfId="125">
      <pivotArea dataOnly="0" labelOnly="1" outline="0" fieldPosition="0">
        <references count="1">
          <reference field="4294967294" count="4">
            <x v="0"/>
            <x v="1"/>
            <x v="2"/>
            <x v="5"/>
          </reference>
        </references>
      </pivotArea>
    </format>
    <format dxfId="124">
      <pivotArea outline="0" collapsedLevelsAreSubtotals="1" fieldPosition="0"/>
    </format>
    <format dxfId="123">
      <pivotArea dataOnly="0" labelOnly="1" outline="0" fieldPosition="0">
        <references count="1">
          <reference field="13" count="0"/>
        </references>
      </pivotArea>
    </format>
    <format dxfId="122">
      <pivotArea outline="0" collapsedLevelsAreSubtotals="1" fieldPosition="0">
        <references count="1">
          <reference field="4294967294" count="3" selected="0">
            <x v="3"/>
            <x v="4"/>
            <x v="5"/>
          </reference>
        </references>
      </pivotArea>
    </format>
    <format dxfId="121">
      <pivotArea dataOnly="0" labelOnly="1" outline="0" fieldPosition="0">
        <references count="1">
          <reference field="4294967294" count="1">
            <x v="3"/>
          </reference>
        </references>
      </pivotArea>
    </format>
    <format dxfId="120">
      <pivotArea dataOnly="0"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BF857A-263B-4D56-9CE8-1F74C222D0BC}"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E33" firstHeaderRow="0" firstDataRow="1" firstDataCol="1" rowPageCount="1" colPageCount="1"/>
  <pivotFields count="55">
    <pivotField showAll="0"/>
    <pivotField showAll="0"/>
    <pivotField axis="axisRow" showAll="0">
      <items count="4">
        <item x="1"/>
        <item x="2"/>
        <item h="1" x="0"/>
        <item t="default"/>
      </items>
    </pivotField>
    <pivotField showAll="0"/>
    <pivotField showAll="0"/>
    <pivotField showAll="0"/>
    <pivotField showAll="0"/>
    <pivotField showAll="0"/>
    <pivotField showAll="0"/>
    <pivotField dataField="1" numFmtId="4" showAll="0"/>
    <pivotField dataField="1" numFmtId="4" showAll="0"/>
    <pivotField dataField="1" showAll="0"/>
    <pivotField dataField="1" showAll="0"/>
    <pivotField axis="axisPage" multipleItemSelectionAllowed="1" showAll="0">
      <items count="3">
        <item x="1"/>
        <item h="1" x="0"/>
        <item t="default"/>
      </items>
    </pivotField>
    <pivotField showAll="0"/>
    <pivotField showAll="0"/>
    <pivotField showAll="0"/>
    <pivotField showAll="0">
      <items count="6">
        <item x="2"/>
        <item x="1"/>
        <item x="4"/>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Fields count="1">
    <field x="-2"/>
  </colFields>
  <colItems count="4">
    <i>
      <x/>
    </i>
    <i i="1">
      <x v="1"/>
    </i>
    <i i="2">
      <x v="2"/>
    </i>
    <i i="3">
      <x v="3"/>
    </i>
  </colItems>
  <pageFields count="1">
    <pageField fld="13" hier="-1"/>
  </pageFields>
  <dataFields count="4">
    <dataField name=" CRI Financing (US$)" fld="10" baseField="17" baseItem="0"/>
    <dataField name="  GoM (US$)" fld="11" baseField="17" baseItem="0"/>
    <dataField name=" Beneficiaries (US$)" fld="12" baseField="17" baseItem="0"/>
    <dataField name="Total" fld="9" baseField="17" baseItem="0"/>
  </dataFields>
  <formats count="24">
    <format dxfId="167">
      <pivotArea outline="0" collapsedLevelsAreSubtotals="1" fieldPosition="0"/>
    </format>
    <format dxfId="166">
      <pivotArea outline="0" collapsedLevelsAreSubtotals="1" fieldPosition="0"/>
    </format>
    <format dxfId="165">
      <pivotArea dataOnly="0" labelOnly="1" outline="0" fieldPosition="0">
        <references count="1">
          <reference field="4294967294" count="4">
            <x v="0"/>
            <x v="1"/>
            <x v="2"/>
            <x v="3"/>
          </reference>
        </references>
      </pivotArea>
    </format>
    <format dxfId="164">
      <pivotArea outline="0" collapsedLevelsAreSubtotals="1" fieldPosition="0"/>
    </format>
    <format dxfId="163">
      <pivotArea dataOnly="0" labelOnly="1" outline="0" fieldPosition="0">
        <references count="1">
          <reference field="4294967294" count="4">
            <x v="0"/>
            <x v="1"/>
            <x v="2"/>
            <x v="3"/>
          </reference>
        </references>
      </pivotArea>
    </format>
    <format dxfId="162">
      <pivotArea type="all" dataOnly="0" outline="0" fieldPosition="0"/>
    </format>
    <format dxfId="161">
      <pivotArea outline="0" collapsedLevelsAreSubtotals="1" fieldPosition="0"/>
    </format>
    <format dxfId="160">
      <pivotArea field="17" type="button" dataOnly="0" labelOnly="1" outline="0"/>
    </format>
    <format dxfId="159">
      <pivotArea dataOnly="0" labelOnly="1" grandRow="1" outline="0" fieldPosition="0"/>
    </format>
    <format dxfId="158">
      <pivotArea dataOnly="0" labelOnly="1" outline="0" fieldPosition="0">
        <references count="1">
          <reference field="4294967294" count="4">
            <x v="0"/>
            <x v="1"/>
            <x v="2"/>
            <x v="3"/>
          </reference>
        </references>
      </pivotArea>
    </format>
    <format dxfId="157">
      <pivotArea type="all" dataOnly="0" outline="0" fieldPosition="0"/>
    </format>
    <format dxfId="156">
      <pivotArea outline="0" collapsedLevelsAreSubtotals="1" fieldPosition="0"/>
    </format>
    <format dxfId="155">
      <pivotArea field="2" type="button" dataOnly="0" labelOnly="1" outline="0" axis="axisRow" fieldPosition="0"/>
    </format>
    <format dxfId="154">
      <pivotArea dataOnly="0" labelOnly="1" fieldPosition="0">
        <references count="1">
          <reference field="2" count="0"/>
        </references>
      </pivotArea>
    </format>
    <format dxfId="153">
      <pivotArea dataOnly="0" labelOnly="1" grandRow="1" outline="0" fieldPosition="0"/>
    </format>
    <format dxfId="152">
      <pivotArea dataOnly="0" labelOnly="1" outline="0" fieldPosition="0">
        <references count="1">
          <reference field="4294967294" count="4">
            <x v="0"/>
            <x v="1"/>
            <x v="2"/>
            <x v="3"/>
          </reference>
        </references>
      </pivotArea>
    </format>
    <format dxfId="151">
      <pivotArea outline="0" collapsedLevelsAreSubtotals="1" fieldPosition="0"/>
    </format>
    <format dxfId="150">
      <pivotArea dataOnly="0" labelOnly="1" outline="0" fieldPosition="0">
        <references count="1">
          <reference field="13" count="0"/>
        </references>
      </pivotArea>
    </format>
    <format dxfId="149">
      <pivotArea dataOnly="0" labelOnly="1" outline="0" fieldPosition="0">
        <references count="1">
          <reference field="4294967294" count="4">
            <x v="0"/>
            <x v="1"/>
            <x v="2"/>
            <x v="3"/>
          </reference>
        </references>
      </pivotArea>
    </format>
    <format dxfId="148">
      <pivotArea outline="0" collapsedLevelsAreSubtotals="1" fieldPosition="0"/>
    </format>
    <format dxfId="147">
      <pivotArea dataOnly="0" labelOnly="1" outline="0" fieldPosition="0">
        <references count="1">
          <reference field="13" count="0"/>
        </references>
      </pivotArea>
    </format>
    <format dxfId="146">
      <pivotArea dataOnly="0" labelOnly="1" outline="0" fieldPosition="0">
        <references count="1">
          <reference field="4294967294" count="4">
            <x v="0"/>
            <x v="1"/>
            <x v="2"/>
            <x v="3"/>
          </reference>
        </references>
      </pivotArea>
    </format>
    <format dxfId="145">
      <pivotArea outline="0" collapsedLevelsAreSubtotals="1" fieldPosition="0">
        <references count="1">
          <reference field="4294967294" count="1" selected="0">
            <x v="3"/>
          </reference>
        </references>
      </pivotArea>
    </format>
    <format dxfId="144">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C2633F-B459-4F6E-9588-EE99DB6B539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E21" firstHeaderRow="0" firstDataRow="1" firstDataCol="1" rowPageCount="1" colPageCount="1"/>
  <pivotFields count="55">
    <pivotField showAll="0"/>
    <pivotField showAll="0"/>
    <pivotField showAll="0">
      <items count="4">
        <item x="1"/>
        <item x="2"/>
        <item h="1" x="0"/>
        <item t="default"/>
      </items>
    </pivotField>
    <pivotField showAll="0"/>
    <pivotField showAll="0"/>
    <pivotField showAll="0"/>
    <pivotField showAll="0"/>
    <pivotField showAll="0"/>
    <pivotField showAll="0"/>
    <pivotField dataField="1" numFmtId="4" showAll="0"/>
    <pivotField dataField="1" numFmtId="4" showAll="0"/>
    <pivotField dataField="1" showAll="0"/>
    <pivotField dataField="1" showAll="0"/>
    <pivotField axis="axisPage" multipleItemSelectionAllowed="1" showAll="0">
      <items count="3">
        <item x="1"/>
        <item h="1" x="0"/>
        <item t="default"/>
      </items>
    </pivotField>
    <pivotField showAll="0"/>
    <pivotField showAll="0"/>
    <pivotField showAll="0"/>
    <pivotField axis="axisRow" showAll="0">
      <items count="6">
        <item x="2"/>
        <item x="1"/>
        <item x="4"/>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5">
    <i>
      <x/>
    </i>
    <i>
      <x v="1"/>
    </i>
    <i>
      <x v="2"/>
    </i>
    <i>
      <x v="3"/>
    </i>
    <i t="grand">
      <x/>
    </i>
  </rowItems>
  <colFields count="1">
    <field x="-2"/>
  </colFields>
  <colItems count="4">
    <i>
      <x/>
    </i>
    <i i="1">
      <x v="1"/>
    </i>
    <i i="2">
      <x v="2"/>
    </i>
    <i i="3">
      <x v="3"/>
    </i>
  </colItems>
  <pageFields count="1">
    <pageField fld="13" hier="-1"/>
  </pageFields>
  <dataFields count="4">
    <dataField name=" CRI Financing (US$)" fld="10" baseField="17" baseItem="0"/>
    <dataField name=" GoM (US$)" fld="11" baseField="17" baseItem="0"/>
    <dataField name=" Beneficiaries (US$)" fld="12" baseField="17" baseItem="0"/>
    <dataField name=" TOTAL PROJECT COST (US$)" fld="9" baseField="17" baseItem="0"/>
  </dataFields>
  <formats count="25">
    <format dxfId="192">
      <pivotArea outline="0" collapsedLevelsAreSubtotals="1" fieldPosition="0"/>
    </format>
    <format dxfId="191">
      <pivotArea outline="0" collapsedLevelsAreSubtotals="1" fieldPosition="0"/>
    </format>
    <format dxfId="190">
      <pivotArea dataOnly="0" labelOnly="1" outline="0" fieldPosition="0">
        <references count="1">
          <reference field="4294967294" count="4">
            <x v="0"/>
            <x v="1"/>
            <x v="2"/>
            <x v="3"/>
          </reference>
        </references>
      </pivotArea>
    </format>
    <format dxfId="189">
      <pivotArea outline="0" collapsedLevelsAreSubtotals="1" fieldPosition="0"/>
    </format>
    <format dxfId="188">
      <pivotArea dataOnly="0" labelOnly="1" outline="0" fieldPosition="0">
        <references count="1">
          <reference field="4294967294" count="4">
            <x v="0"/>
            <x v="1"/>
            <x v="2"/>
            <x v="3"/>
          </reference>
        </references>
      </pivotArea>
    </format>
    <format dxfId="187">
      <pivotArea type="all" dataOnly="0" outline="0" fieldPosition="0"/>
    </format>
    <format dxfId="186">
      <pivotArea outline="0" collapsedLevelsAreSubtotals="1" fieldPosition="0"/>
    </format>
    <format dxfId="185">
      <pivotArea field="17" type="button" dataOnly="0" labelOnly="1" outline="0" axis="axisRow" fieldPosition="0"/>
    </format>
    <format dxfId="184">
      <pivotArea dataOnly="0" labelOnly="1" fieldPosition="0">
        <references count="1">
          <reference field="17" count="4">
            <x v="0"/>
            <x v="1"/>
            <x v="2"/>
            <x v="3"/>
          </reference>
        </references>
      </pivotArea>
    </format>
    <format dxfId="183">
      <pivotArea dataOnly="0" labelOnly="1" grandRow="1" outline="0" fieldPosition="0"/>
    </format>
    <format dxfId="182">
      <pivotArea dataOnly="0" labelOnly="1" outline="0" fieldPosition="0">
        <references count="1">
          <reference field="4294967294" count="4">
            <x v="0"/>
            <x v="1"/>
            <x v="2"/>
            <x v="3"/>
          </reference>
        </references>
      </pivotArea>
    </format>
    <format dxfId="181">
      <pivotArea type="all" dataOnly="0" outline="0" fieldPosition="0"/>
    </format>
    <format dxfId="180">
      <pivotArea outline="0" collapsedLevelsAreSubtotals="1" fieldPosition="0"/>
    </format>
    <format dxfId="179">
      <pivotArea field="17" type="button" dataOnly="0" labelOnly="1" outline="0" axis="axisRow" fieldPosition="0"/>
    </format>
    <format dxfId="178">
      <pivotArea dataOnly="0" labelOnly="1" fieldPosition="0">
        <references count="1">
          <reference field="17" count="4">
            <x v="0"/>
            <x v="1"/>
            <x v="2"/>
            <x v="3"/>
          </reference>
        </references>
      </pivotArea>
    </format>
    <format dxfId="177">
      <pivotArea dataOnly="0" labelOnly="1" grandRow="1" outline="0" fieldPosition="0"/>
    </format>
    <format dxfId="176">
      <pivotArea dataOnly="0" labelOnly="1" outline="0" fieldPosition="0">
        <references count="1">
          <reference field="4294967294" count="4">
            <x v="0"/>
            <x v="1"/>
            <x v="2"/>
            <x v="3"/>
          </reference>
        </references>
      </pivotArea>
    </format>
    <format dxfId="175">
      <pivotArea outline="0" collapsedLevelsAreSubtotals="1" fieldPosition="0"/>
    </format>
    <format dxfId="174">
      <pivotArea dataOnly="0" labelOnly="1" outline="0" fieldPosition="0">
        <references count="1">
          <reference field="13" count="0"/>
        </references>
      </pivotArea>
    </format>
    <format dxfId="173">
      <pivotArea dataOnly="0" labelOnly="1" outline="0" fieldPosition="0">
        <references count="1">
          <reference field="4294967294" count="4">
            <x v="0"/>
            <x v="1"/>
            <x v="2"/>
            <x v="3"/>
          </reference>
        </references>
      </pivotArea>
    </format>
    <format dxfId="172">
      <pivotArea outline="0" collapsedLevelsAreSubtotals="1" fieldPosition="0"/>
    </format>
    <format dxfId="171">
      <pivotArea dataOnly="0" labelOnly="1" outline="0" fieldPosition="0">
        <references count="1">
          <reference field="13" count="0"/>
        </references>
      </pivotArea>
    </format>
    <format dxfId="170">
      <pivotArea dataOnly="0" labelOnly="1" outline="0" fieldPosition="0">
        <references count="1">
          <reference field="4294967294" count="4">
            <x v="0"/>
            <x v="1"/>
            <x v="2"/>
            <x v="3"/>
          </reference>
        </references>
      </pivotArea>
    </format>
    <format dxfId="169">
      <pivotArea outline="0" collapsedLevelsAreSubtotals="1" fieldPosition="0">
        <references count="1">
          <reference field="4294967294" count="1" selected="0">
            <x v="3"/>
          </reference>
        </references>
      </pivotArea>
    </format>
    <format dxfId="168">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F43FF6-C25E-4704-8423-B35B887F68F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8" firstHeaderRow="0" firstDataRow="1" firstDataCol="1" rowPageCount="1" colPageCount="1"/>
  <pivotFields count="55">
    <pivotField showAll="0"/>
    <pivotField showAll="0"/>
    <pivotField showAll="0">
      <items count="4">
        <item x="1"/>
        <item x="2"/>
        <item h="1" x="0"/>
        <item t="default"/>
      </items>
    </pivotField>
    <pivotField showAll="0"/>
    <pivotField showAll="0"/>
    <pivotField showAll="0"/>
    <pivotField showAll="0"/>
    <pivotField showAll="0"/>
    <pivotField showAll="0"/>
    <pivotField dataField="1" numFmtId="4" showAll="0"/>
    <pivotField numFmtId="4" showAll="0"/>
    <pivotField dataField="1" showAll="0"/>
    <pivotField dataField="1" showAll="0"/>
    <pivotField axis="axisPage" multipleItemSelectionAllowed="1" showAll="0">
      <items count="3">
        <item x="1"/>
        <item h="1" x="0"/>
        <item t="default"/>
      </items>
    </pivotField>
    <pivotField showAll="0"/>
    <pivotField showAll="0"/>
    <pivotField showAll="0"/>
    <pivotField axis="axisRow" showAll="0">
      <items count="6">
        <item x="2"/>
        <item x="1"/>
        <item x="4"/>
        <item x="3"/>
        <item x="0"/>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5">
    <i>
      <x/>
    </i>
    <i>
      <x v="1"/>
    </i>
    <i>
      <x v="2"/>
    </i>
    <i>
      <x v="3"/>
    </i>
    <i t="grand">
      <x/>
    </i>
  </rowItems>
  <colFields count="1">
    <field x="-2"/>
  </colFields>
  <colItems count="6">
    <i>
      <x/>
    </i>
    <i i="1">
      <x v="1"/>
    </i>
    <i i="2">
      <x v="2"/>
    </i>
    <i i="3">
      <x v="3"/>
    </i>
    <i i="4">
      <x v="4"/>
    </i>
    <i i="5">
      <x v="5"/>
    </i>
  </colItems>
  <pageFields count="1">
    <pageField fld="13" hier="-1"/>
  </pageFields>
  <dataFields count="6">
    <dataField name=" REFP (US$)" fld="27" baseField="17" baseItem="0"/>
    <dataField name="  PROCAVA  (US$)" fld="28" baseField="17" baseItem="0"/>
    <dataField name="  PRODAPE  (US$)" fld="29" baseField="17" baseItem="0"/>
    <dataField name=" GoM (US$)" fld="11" baseField="17" baseItem="0"/>
    <dataField name=" Beneficiaries (US$)" fld="12" baseField="17" baseItem="0"/>
    <dataField name=" TOTAL PROJECT COST (US$)" fld="9" baseField="17" baseItem="0"/>
  </dataFields>
  <formats count="25">
    <format dxfId="217">
      <pivotArea outline="0" collapsedLevelsAreSubtotals="1" fieldPosition="0"/>
    </format>
    <format dxfId="216">
      <pivotArea outline="0" collapsedLevelsAreSubtotals="1" fieldPosition="0"/>
    </format>
    <format dxfId="215">
      <pivotArea dataOnly="0" labelOnly="1" outline="0" fieldPosition="0">
        <references count="1">
          <reference field="4294967294" count="4">
            <x v="0"/>
            <x v="1"/>
            <x v="2"/>
            <x v="5"/>
          </reference>
        </references>
      </pivotArea>
    </format>
    <format dxfId="214">
      <pivotArea outline="0" collapsedLevelsAreSubtotals="1" fieldPosition="0"/>
    </format>
    <format dxfId="213">
      <pivotArea dataOnly="0" labelOnly="1" outline="0" fieldPosition="0">
        <references count="1">
          <reference field="4294967294" count="4">
            <x v="0"/>
            <x v="1"/>
            <x v="2"/>
            <x v="5"/>
          </reference>
        </references>
      </pivotArea>
    </format>
    <format dxfId="212">
      <pivotArea type="all" dataOnly="0" outline="0" fieldPosition="0"/>
    </format>
    <format dxfId="211">
      <pivotArea outline="0" collapsedLevelsAreSubtotals="1" fieldPosition="0"/>
    </format>
    <format dxfId="210">
      <pivotArea field="17" type="button" dataOnly="0" labelOnly="1" outline="0" axis="axisRow" fieldPosition="0"/>
    </format>
    <format dxfId="209">
      <pivotArea dataOnly="0" labelOnly="1" fieldPosition="0">
        <references count="1">
          <reference field="17" count="4">
            <x v="0"/>
            <x v="1"/>
            <x v="2"/>
            <x v="3"/>
          </reference>
        </references>
      </pivotArea>
    </format>
    <format dxfId="208">
      <pivotArea dataOnly="0" labelOnly="1" grandRow="1" outline="0" fieldPosition="0"/>
    </format>
    <format dxfId="207">
      <pivotArea dataOnly="0" labelOnly="1" outline="0" fieldPosition="0">
        <references count="1">
          <reference field="4294967294" count="4">
            <x v="0"/>
            <x v="1"/>
            <x v="2"/>
            <x v="5"/>
          </reference>
        </references>
      </pivotArea>
    </format>
    <format dxfId="206">
      <pivotArea type="all" dataOnly="0" outline="0" fieldPosition="0"/>
    </format>
    <format dxfId="205">
      <pivotArea outline="0" collapsedLevelsAreSubtotals="1" fieldPosition="0"/>
    </format>
    <format dxfId="204">
      <pivotArea field="17" type="button" dataOnly="0" labelOnly="1" outline="0" axis="axisRow" fieldPosition="0"/>
    </format>
    <format dxfId="203">
      <pivotArea dataOnly="0" labelOnly="1" fieldPosition="0">
        <references count="1">
          <reference field="17" count="4">
            <x v="0"/>
            <x v="1"/>
            <x v="2"/>
            <x v="3"/>
          </reference>
        </references>
      </pivotArea>
    </format>
    <format dxfId="202">
      <pivotArea dataOnly="0" labelOnly="1" grandRow="1" outline="0" fieldPosition="0"/>
    </format>
    <format dxfId="201">
      <pivotArea dataOnly="0" labelOnly="1" outline="0" fieldPosition="0">
        <references count="1">
          <reference field="4294967294" count="4">
            <x v="0"/>
            <x v="1"/>
            <x v="2"/>
            <x v="5"/>
          </reference>
        </references>
      </pivotArea>
    </format>
    <format dxfId="200">
      <pivotArea outline="0" collapsedLevelsAreSubtotals="1" fieldPosition="0"/>
    </format>
    <format dxfId="199">
      <pivotArea dataOnly="0" labelOnly="1" outline="0" fieldPosition="0">
        <references count="1">
          <reference field="13" count="0"/>
        </references>
      </pivotArea>
    </format>
    <format dxfId="198">
      <pivotArea dataOnly="0" labelOnly="1" outline="0" fieldPosition="0">
        <references count="1">
          <reference field="4294967294" count="4">
            <x v="0"/>
            <x v="1"/>
            <x v="2"/>
            <x v="5"/>
          </reference>
        </references>
      </pivotArea>
    </format>
    <format dxfId="197">
      <pivotArea outline="0" collapsedLevelsAreSubtotals="1" fieldPosition="0"/>
    </format>
    <format dxfId="196">
      <pivotArea dataOnly="0" labelOnly="1" outline="0" fieldPosition="0">
        <references count="1">
          <reference field="13" count="0"/>
        </references>
      </pivotArea>
    </format>
    <format dxfId="195">
      <pivotArea dataOnly="0" labelOnly="1" outline="0" fieldPosition="0">
        <references count="1">
          <reference field="4294967294" count="4">
            <x v="0"/>
            <x v="1"/>
            <x v="2"/>
            <x v="5"/>
          </reference>
        </references>
      </pivotArea>
    </format>
    <format dxfId="194">
      <pivotArea outline="0" collapsedLevelsAreSubtotals="1" fieldPosition="0">
        <references count="1">
          <reference field="4294967294" count="3" selected="0">
            <x v="3"/>
            <x v="4"/>
            <x v="5"/>
          </reference>
        </references>
      </pivotArea>
    </format>
    <format dxfId="193">
      <pivotArea dataOnly="0" labelOnly="1" outline="0" fieldPosition="0">
        <references count="1">
          <reference field="4294967294" count="3">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F3CB8A-D6C9-4B7C-B785-27373449981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4">
    <pivotField axis="axisRow" showAll="0">
      <items count="6">
        <item x="2"/>
        <item x="1"/>
        <item x="0"/>
        <item x="3"/>
        <item x="4"/>
        <item t="default"/>
      </items>
    </pivotField>
    <pivotField dataField="1" showAll="0">
      <items count="28">
        <item x="13"/>
        <item x="2"/>
        <item x="8"/>
        <item x="12"/>
        <item x="6"/>
        <item x="22"/>
        <item x="19"/>
        <item x="17"/>
        <item x="7"/>
        <item x="26"/>
        <item x="24"/>
        <item x="21"/>
        <item x="16"/>
        <item x="18"/>
        <item x="15"/>
        <item x="14"/>
        <item x="4"/>
        <item x="1"/>
        <item x="23"/>
        <item x="0"/>
        <item x="25"/>
        <item x="10"/>
        <item x="3"/>
        <item x="11"/>
        <item x="9"/>
        <item x="5"/>
        <item x="20"/>
        <item t="default"/>
      </items>
    </pivotField>
    <pivotField showAll="0"/>
    <pivotField showAll="0"/>
  </pivotFields>
  <rowFields count="1">
    <field x="0"/>
  </rowFields>
  <rowItems count="6">
    <i>
      <x/>
    </i>
    <i>
      <x v="1"/>
    </i>
    <i>
      <x v="2"/>
    </i>
    <i>
      <x v="3"/>
    </i>
    <i>
      <x v="4"/>
    </i>
    <i t="grand">
      <x/>
    </i>
  </rowItems>
  <colItems count="1">
    <i/>
  </colItems>
  <dataFields count="1">
    <dataField name="Count of Distric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701EE8-6019-44B4-8B6B-704E419EC808}" name="Table3" displayName="Table3" ref="A4:BC48" totalsRowShown="0" headerRowDxfId="119" dataDxfId="118" tableBorderDxfId="117" totalsRowBorderDxfId="116" headerRowCellStyle="Comma">
  <autoFilter ref="A4:BC48" xr:uid="{3D701EE8-6019-44B4-8B6B-704E419EC808}"/>
  <tableColumns count="55">
    <tableColumn id="1" xr3:uid="{46F0B99D-709A-4B21-A1CB-873B040972F8}" name="ID" dataDxfId="115"/>
    <tableColumn id="2" xr3:uid="{5B7072EB-7199-4A46-9308-693E2728B8CD}" name="Activity" dataDxfId="114"/>
    <tableColumn id="3" xr3:uid="{EB2EE554-C66A-45CE-AC3A-A9CB9C4A609D}" name="comps" dataDxfId="113"/>
    <tableColumn id="4" xr3:uid="{F6E8C045-6E5A-4D86-ADCF-23569B70D0A6}" name="Indicator" dataDxfId="112"/>
    <tableColumn id="5" xr3:uid="{F820D62E-5501-4677-B49D-93E59776DEDB}" name="Units" dataDxfId="111">
      <calculatedColumnFormula>IFERROR(VLOOKUP(D5,Table1[],2,FALSE),"")</calculatedColumnFormula>
    </tableColumn>
    <tableColumn id="6" xr3:uid="{9FB8ADDD-1A21-4C5D-9B29-963A8D865FB8}" name="Freq." dataDxfId="110"/>
    <tableColumn id="7" xr3:uid="{F59E847D-064A-4E81-93E0-8134BFA63179}" name="Quantity" dataDxfId="109" dataCellStyle="Comma"/>
    <tableColumn id="8" xr3:uid="{BAB57C04-97AA-44C0-85A5-4DDD19FCC789}" name="Unit Price (MZN)" dataDxfId="108" dataCellStyle="Comma"/>
    <tableColumn id="9" xr3:uid="{F8BA3DFA-C42D-4124-93EB-B1F32BAB75D7}" name="Cost" dataDxfId="107" dataCellStyle="Comma">
      <calculatedColumnFormula>+H5*G5*F5/63.34</calculatedColumnFormula>
    </tableColumn>
    <tableColumn id="10" xr3:uid="{DBC6962E-86AE-4EE8-857F-07FC4447DFBD}" name="TOTAL PROJECT COST (US$)" dataDxfId="106" dataCellStyle="Comma">
      <calculatedColumnFormula>+I5+L5+M5</calculatedColumnFormula>
    </tableColumn>
    <tableColumn id="54" xr3:uid="{EE998C01-4890-4502-80A1-84CE53D2C98E}" name="CRI Financing (US$)" dataDxfId="105" dataCellStyle="Comma">
      <calculatedColumnFormula>+Table3[[#This Row],[Cost]]</calculatedColumnFormula>
    </tableColumn>
    <tableColumn id="11" xr3:uid="{69F5D702-CE47-4865-A703-FAFD945D3C26}" name="GoM (US$)" dataDxfId="104" dataCellStyle="Comma"/>
    <tableColumn id="12" xr3:uid="{5B3275D8-F9F1-4329-9277-1B3CB1EF072F}" name="Beneficiaries (US$)" dataDxfId="103" dataCellStyle="Comma"/>
    <tableColumn id="13" xr3:uid="{7FB52C53-6B71-430D-BCD5-27D7C75A6D9C}" name="Priority" dataDxfId="102" dataCellStyle="Comma"/>
    <tableColumn id="14" xr3:uid="{600D703A-BC06-4EF2-A96A-3650C45A6011}" name="Geographical Distribution, ex. Mapai (22), Mabalane (16)" dataDxfId="101"/>
    <tableColumn id="15" xr3:uid="{4615476E-3E43-4C82-9EE9-A57AC9FC9C15}" name="Comments" dataDxfId="100"/>
    <tableColumn id="16" xr3:uid="{CE1897BE-E785-44FC-AB26-2E6C19D202C3}" name="Component" dataDxfId="99"/>
    <tableColumn id="17" xr3:uid="{00150B29-7335-4657-AE44-AC7DCD3FBD2B}" name="Category" dataDxfId="98"/>
    <tableColumn id="18" xr3:uid="{506007E7-3B5E-411C-BFF2-652A09C268B8}" name="CRI (%)" dataDxfId="97" dataCellStyle="Percent">
      <calculatedColumnFormula>IFERROR(+I5/$J5,0)</calculatedColumnFormula>
    </tableColumn>
    <tableColumn id="19" xr3:uid="{8642A94F-828A-4B2D-AE80-F57251C033A7}" name="Government (%)" dataDxfId="96" dataCellStyle="Percent">
      <calculatedColumnFormula>IFERROR(+L5/$J5,0)</calculatedColumnFormula>
    </tableColumn>
    <tableColumn id="20" xr3:uid="{DA0A96D9-C5BE-49C6-B6D2-AC7DE7F304B1}" name="Beneficiaries (%)" dataDxfId="95" dataCellStyle="Percent">
      <calculatedColumnFormula>IFERROR(M5/J5,0)</calculatedColumnFormula>
    </tableColumn>
    <tableColumn id="21" xr3:uid="{280E38C9-A9DF-4840-8FE5-6E1326821880}" name="CRI (MZN)" dataDxfId="94" dataCellStyle="Comma">
      <calculatedColumnFormula>+S5*J5</calculatedColumnFormula>
    </tableColumn>
    <tableColumn id="22" xr3:uid="{71FD46FB-37B6-4BD6-B6EF-3DFE4ECB09CF}" name="Government (MZN)" dataDxfId="93" dataCellStyle="Comma">
      <calculatedColumnFormula>+T5*J5</calculatedColumnFormula>
    </tableColumn>
    <tableColumn id="23" xr3:uid="{A30B4136-7FC2-4FBF-9644-0422F59E534E}" name="Beneficiaries (MZN)" dataDxfId="92" dataCellStyle="Comma">
      <calculatedColumnFormula>+J5*U5</calculatedColumnFormula>
    </tableColumn>
    <tableColumn id="24" xr3:uid="{B38E62BE-E5C0-4313-9800-C17C4309975B}" name="REFP (%)" dataDxfId="91"/>
    <tableColumn id="25" xr3:uid="{4F6447C0-5AF6-47B8-8E99-48B29316AC3F}" name="PROCAVA (%)" dataDxfId="90"/>
    <tableColumn id="26" xr3:uid="{BCDEF964-E939-403C-B0B1-EFE31148950C}" name="PRODAPE (%)" dataDxfId="89" dataCellStyle="Percent">
      <calculatedColumnFormula>1-Y5-Z5</calculatedColumnFormula>
    </tableColumn>
    <tableColumn id="27" xr3:uid="{7410F869-B177-45C1-8884-194AA29D3901}" name="REFP (US$)" dataDxfId="88" dataCellStyle="Comma">
      <calculatedColumnFormula>+Y5*$I5</calculatedColumnFormula>
    </tableColumn>
    <tableColumn id="28" xr3:uid="{4A2F7ECD-D12F-480A-BF0C-88E4F399D1C6}" name="PROCAVA  (US$)" dataDxfId="87" dataCellStyle="Comma">
      <calculatedColumnFormula>+Z5*$I5</calculatedColumnFormula>
    </tableColumn>
    <tableColumn id="29" xr3:uid="{588F70C6-2155-4D76-BE13-EE43D544DFC7}" name="PRODAPE  (US$)" dataDxfId="86" dataCellStyle="Comma">
      <calculatedColumnFormula>+AA5*$I5</calculatedColumnFormula>
    </tableColumn>
    <tableColumn id="30" xr3:uid="{7DD3860E-F6A6-410B-AAFF-2E7012429B6B}" name="Jan" dataDxfId="85"/>
    <tableColumn id="31" xr3:uid="{E28C38BD-029D-4129-A46D-2EBCCA0CA028}" name="Feb" dataDxfId="84"/>
    <tableColumn id="32" xr3:uid="{ECCE4475-2597-4FDE-8E76-3C0A9CA777F2}" name="Mar" dataDxfId="83"/>
    <tableColumn id="33" xr3:uid="{4568DDCE-7882-4AA4-953B-28A9E520506F}" name="Apr" dataDxfId="82"/>
    <tableColumn id="34" xr3:uid="{2DE56FA7-E4D3-45C1-9F29-696091BAB493}" name="May" dataDxfId="81"/>
    <tableColumn id="35" xr3:uid="{A216F76B-2250-4E94-9509-EC8F070B78C2}" name="Jun" dataDxfId="80"/>
    <tableColumn id="36" xr3:uid="{91B73635-C60F-40E7-AE9B-60A5F0C230BF}" name="Jul" dataDxfId="79"/>
    <tableColumn id="37" xr3:uid="{9B6D3FB5-706E-4FCC-94F6-9F7D31F04755}" name="Ago" dataDxfId="78"/>
    <tableColumn id="38" xr3:uid="{51E46ABA-D1D4-469C-A7F6-A998504E9F14}" name="Sep" dataDxfId="77"/>
    <tableColumn id="39" xr3:uid="{D0BD5D0E-4437-4724-90E0-FD78B955234A}" name="Oct" dataDxfId="76"/>
    <tableColumn id="40" xr3:uid="{B118B6F7-6BC2-4D4B-AF08-8E9777F5B252}" name="Nov" dataDxfId="75"/>
    <tableColumn id="41" xr3:uid="{79C3F7C5-5FAF-43CA-BF61-C6DB19C2641F}" name="Dec" dataDxfId="74"/>
    <tableColumn id="55" xr3:uid="{214D53A0-22E3-4F25-A332-1594DAC5EEAE}" name="Column1" dataDxfId="73"/>
    <tableColumn id="42" xr3:uid="{3009E5FA-3BE2-400B-99C5-CE5349A775E7}" name=" Jan" dataDxfId="72"/>
    <tableColumn id="43" xr3:uid="{5E82D050-C0D5-448B-878C-D9FA179AF400}" name=" Feb" dataDxfId="71">
      <calculatedColumnFormula>ROUND(+Table3[[#This Row],[Quantity]]/4,0)</calculatedColumnFormula>
    </tableColumn>
    <tableColumn id="44" xr3:uid="{B7E8D88F-8660-4595-BD40-9A9A4745B095}" name=" Mar" dataDxfId="70"/>
    <tableColumn id="45" xr3:uid="{99D69537-926C-4A5F-8B52-1F7AFD63E2F0}" name=" Apr" dataDxfId="69"/>
    <tableColumn id="46" xr3:uid="{DF1E0521-BE42-4255-87A6-9AB92E7BA7A1}" name=" May" dataDxfId="68"/>
    <tableColumn id="47" xr3:uid="{5B3B65E9-3410-44D6-933A-2B2741614E1A}" name=" Jun" dataDxfId="67"/>
    <tableColumn id="48" xr3:uid="{95445E24-3C41-4D71-8B14-56D02C99A59C}" name=" Jul" dataDxfId="66"/>
    <tableColumn id="49" xr3:uid="{FA41D44F-E6E3-4275-AFE1-D63118A599A7}" name=" Ago" dataDxfId="65"/>
    <tableColumn id="50" xr3:uid="{8E2044B5-63FB-4291-A814-8C86F9C47150}" name=" Sep" dataDxfId="64"/>
    <tableColumn id="51" xr3:uid="{5628C29C-37BF-40BA-BCA8-1ED0498B8F5C}" name=" Oct" dataDxfId="63"/>
    <tableColumn id="52" xr3:uid="{92A167F1-93DC-40D7-9D1B-0FCDC0691B5F}" name=" Nov" dataDxfId="62"/>
    <tableColumn id="53" xr3:uid="{23A6EBD6-2A41-4D95-97E5-C08B97589047}" name=" Dec" dataDxfId="6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31F17C5-DD02-472F-9A85-9F67643B29B0}" name="Table4" displayName="Table4" ref="A1:S26" totalsRowShown="0" headerRowDxfId="60" dataDxfId="58" headerRowBorderDxfId="59" tableBorderDxfId="57" totalsRowBorderDxfId="56" headerRowCellStyle="Comma" dataCellStyle="Comma">
  <autoFilter ref="A1:S26" xr:uid="{931F17C5-DD02-472F-9A85-9F67643B29B0}"/>
  <tableColumns count="19">
    <tableColumn id="1" xr3:uid="{C74EDED2-EE1E-43EA-9C13-6A1F2A709F3A}" name="description" dataDxfId="55"/>
    <tableColumn id="31" xr3:uid="{DAF276C0-18F8-4A11-BC4A-E7CBB1CA364B}" name="tompro_key" dataDxfId="54"/>
    <tableColumn id="2" xr3:uid="{D4DE72B4-D16B-418B-B53F-CB711370CE3C}" name="subcomponentname_pt" dataDxfId="53"/>
    <tableColumn id="3" xr3:uid="{BB172795-BF22-4208-8498-64C3A2712F98}" name="indicators" dataDxfId="52"/>
    <tableColumn id="4" xr3:uid="{A5AD2621-07EC-456E-8424-30C412E3F8C7}" name="indicator_unit" dataDxfId="51"/>
    <tableColumn id="5" xr3:uid="{E6AB8C74-03E6-4CD5-B226-B50DC491538E}" name="meta" dataDxfId="50"/>
    <tableColumn id="6" xr3:uid="{D6CC2ED4-5B83-42AB-A47A-6BE61D8F8F7C}" name="ceiling" dataDxfId="49"/>
    <tableColumn id="7" xr3:uid="{A9446E48-72F4-465A-B259-2F5035E63760}" name="ceiling2" dataDxfId="48"/>
    <tableColumn id="8" xr3:uid="{312BB494-842A-4892-9BA1-39D4EAA5A25B}" name="cri_usd" dataDxfId="47"/>
    <tableColumn id="9" xr3:uid="{26C05F91-2933-4778-B253-6DD94C20A5E7}" name="gdm_usd" dataDxfId="46"/>
    <tableColumn id="10" xr3:uid="{3A066A3D-2380-413E-A1DF-3E1F7327E056}" name="benef_usd" dataDxfId="45"/>
    <tableColumn id="13" xr3:uid="{99F04CAA-ACB3-4CAC-848A-CE4D6B4BA8F5}" name="expenditure" dataDxfId="44"/>
    <tableColumn id="17" xr3:uid="{A19C87DA-6429-4D21-B873-D3DEE4D41F6D}" name="fa_categories" dataDxfId="43"/>
    <tableColumn id="18" xr3:uid="{6581748F-9E56-4290-B3D5-FCD1A161AF2C}" name="cri_grant1" dataDxfId="42" dataCellStyle="Comma"/>
    <tableColumn id="19" xr3:uid="{EBEAB953-F726-4161-B35B-D9B18C431A85}" name="gov2020" dataDxfId="41" dataCellStyle="Comma"/>
    <tableColumn id="20" xr3:uid="{A19F77B8-8EDC-45A2-845A-485ABA944FCB}" name="benef2020" dataDxfId="40" dataCellStyle="Comma"/>
    <tableColumn id="21" xr3:uid="{6B2CD890-D357-4D7B-BAFB-6A8630AF554D}" name="refp_managed" dataDxfId="39" dataCellStyle="Comma"/>
    <tableColumn id="22" xr3:uid="{7787A6E7-5A8C-416D-957E-1AF4E7287FC5}" name="procava_managed" dataDxfId="38" dataCellStyle="Comma"/>
    <tableColumn id="23" xr3:uid="{7B2F5C99-5329-4F46-A308-D74FC68A8954}" name="prodape_managed" dataDxfId="37" dataCellStyle="Comma"/>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FEA0F9-8991-4613-8732-DFB925C1896C}" name="Table2" displayName="Table2" ref="A2:D66" totalsRowShown="0" headerRowDxfId="36" headerRowBorderDxfId="35" tableBorderDxfId="34" totalsRowBorderDxfId="33">
  <autoFilter ref="A2:D66" xr:uid="{B1FEA0F9-8991-4613-8732-DFB925C1896C}"/>
  <tableColumns count="4">
    <tableColumn id="1" xr3:uid="{949665B5-6E93-49D0-9E2B-78B1E3BD632B}" name="Commodity" dataDxfId="32"/>
    <tableColumn id="2" xr3:uid="{F28DEFB8-B346-4D07-913B-3BDC57AE1B4D}" name="District" dataDxfId="31"/>
    <tableColumn id="3" xr3:uid="{DA16DFF5-32D6-4597-817F-F9A59E4BD250}" name="PROCAVA" dataDxfId="30"/>
    <tableColumn id="4" xr3:uid="{404A8804-1268-4403-A87A-3A18CE57A4C5}" name="Beneficiaries" dataDxfId="2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72C14A-9E9E-426D-8897-2AB509EE71BC}" name="Table1" displayName="Table1" ref="A1:B112" totalsRowShown="0">
  <autoFilter ref="A1:B112" xr:uid="{FE72C14A-9E9E-426D-8897-2AB509EE71BC}"/>
  <tableColumns count="2">
    <tableColumn id="1" xr3:uid="{F2089617-E0AE-430B-AEEB-7682DD95F9FB}" name="indicator_en"/>
    <tableColumn id="2" xr3:uid="{D69B45E4-6BBC-4677-ABAE-EBBD636C8F62}" name="indicator_uni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printerSettings" Target="../printerSettings/printerSettings2.bin"/><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0C876-DF08-479A-B738-AE0225AB5D19}">
  <dimension ref="A3:G48"/>
  <sheetViews>
    <sheetView zoomScale="218" zoomScaleNormal="218" workbookViewId="0">
      <selection activeCell="B20" sqref="B20"/>
    </sheetView>
  </sheetViews>
  <sheetFormatPr defaultColWidth="8.85546875" defaultRowHeight="15" x14ac:dyDescent="0.25"/>
  <cols>
    <col min="1" max="1" width="51" style="40" bestFit="1" customWidth="1"/>
    <col min="2" max="2" width="43" style="52" customWidth="1"/>
    <col min="3" max="3" width="30.42578125" style="33" customWidth="1"/>
    <col min="4" max="4" width="11.5703125" style="33" bestFit="1" customWidth="1"/>
    <col min="5" max="5" width="12.5703125" style="33" bestFit="1" customWidth="1"/>
    <col min="6" max="6" width="7" style="41" hidden="1" customWidth="1"/>
    <col min="7" max="7" width="13.140625" style="41" bestFit="1" customWidth="1"/>
    <col min="8" max="16384" width="8.85546875" style="40"/>
  </cols>
  <sheetData>
    <row r="3" spans="1:7" s="37" customFormat="1" ht="45" x14ac:dyDescent="0.25">
      <c r="A3" s="36" t="s">
        <v>257</v>
      </c>
      <c r="B3" s="49" t="s">
        <v>258</v>
      </c>
      <c r="C3" s="35" t="s">
        <v>259</v>
      </c>
      <c r="D3" s="35" t="s">
        <v>260</v>
      </c>
      <c r="E3" s="35" t="s">
        <v>256</v>
      </c>
    </row>
    <row r="4" spans="1:7" s="34" customFormat="1" x14ac:dyDescent="0.25">
      <c r="A4" s="38" t="s">
        <v>247</v>
      </c>
      <c r="B4" s="50">
        <v>1082033.4701610357</v>
      </c>
      <c r="C4" s="39">
        <v>13088.095989895801</v>
      </c>
      <c r="D4" s="39">
        <v>48547.521313545942</v>
      </c>
      <c r="E4" s="39">
        <v>1143669.0874644774</v>
      </c>
      <c r="F4" s="40"/>
      <c r="G4" s="40"/>
    </row>
    <row r="5" spans="1:7" x14ac:dyDescent="0.25">
      <c r="A5" s="38" t="s">
        <v>248</v>
      </c>
      <c r="B5" s="50">
        <v>518629.61793495418</v>
      </c>
      <c r="C5" s="39">
        <v>0</v>
      </c>
      <c r="D5" s="39">
        <v>57625.513103883801</v>
      </c>
      <c r="E5" s="39">
        <v>576255.13103883795</v>
      </c>
      <c r="F5" s="40"/>
      <c r="G5" s="40"/>
    </row>
    <row r="6" spans="1:7" x14ac:dyDescent="0.25">
      <c r="A6" s="38" t="s">
        <v>249</v>
      </c>
      <c r="B6" s="50">
        <v>450742.02715503634</v>
      </c>
      <c r="C6" s="39">
        <v>0</v>
      </c>
      <c r="D6" s="39">
        <v>0</v>
      </c>
      <c r="E6" s="39">
        <v>450742.02715503634</v>
      </c>
      <c r="F6" s="40"/>
      <c r="G6" s="40"/>
    </row>
    <row r="7" spans="1:7" x14ac:dyDescent="0.25">
      <c r="A7" s="38" t="s">
        <v>238</v>
      </c>
      <c r="B7" s="50">
        <v>126302.49447426586</v>
      </c>
      <c r="C7" s="39">
        <v>0</v>
      </c>
      <c r="D7" s="39">
        <v>0</v>
      </c>
      <c r="E7" s="39">
        <v>126302.49447426586</v>
      </c>
      <c r="F7" s="40"/>
      <c r="G7" s="40"/>
    </row>
    <row r="8" spans="1:7" x14ac:dyDescent="0.25">
      <c r="A8" s="38" t="s">
        <v>235</v>
      </c>
      <c r="B8" s="50">
        <v>2177707.6097252918</v>
      </c>
      <c r="C8" s="39">
        <v>13088.095989895801</v>
      </c>
      <c r="D8" s="39">
        <v>106173.03441742974</v>
      </c>
      <c r="E8" s="39">
        <v>2296968.7401326178</v>
      </c>
      <c r="F8" s="40"/>
      <c r="G8" s="40"/>
    </row>
    <row r="9" spans="1:7" x14ac:dyDescent="0.25">
      <c r="A9"/>
      <c r="B9" s="19"/>
      <c r="C9"/>
      <c r="D9"/>
      <c r="E9"/>
      <c r="F9" s="40"/>
      <c r="G9" s="40"/>
    </row>
    <row r="10" spans="1:7" x14ac:dyDescent="0.25">
      <c r="B10" s="49"/>
      <c r="C10" s="34"/>
      <c r="D10" s="34"/>
      <c r="E10" s="34"/>
      <c r="F10" s="40"/>
      <c r="G10" s="40"/>
    </row>
    <row r="11" spans="1:7" x14ac:dyDescent="0.25">
      <c r="A11" s="45" t="s">
        <v>275</v>
      </c>
      <c r="B11" s="51"/>
    </row>
    <row r="12" spans="1:7" x14ac:dyDescent="0.25">
      <c r="A12" s="45" t="s">
        <v>279</v>
      </c>
      <c r="B12" s="51"/>
    </row>
    <row r="13" spans="1:7" x14ac:dyDescent="0.25">
      <c r="A13" s="45" t="s">
        <v>281</v>
      </c>
      <c r="B13" s="51"/>
    </row>
    <row r="14" spans="1:7" x14ac:dyDescent="0.25">
      <c r="A14" s="45" t="s">
        <v>285</v>
      </c>
      <c r="B14" s="51"/>
    </row>
    <row r="15" spans="1:7" x14ac:dyDescent="0.25">
      <c r="A15" s="45" t="s">
        <v>289</v>
      </c>
      <c r="B15" s="51"/>
    </row>
    <row r="16" spans="1:7" x14ac:dyDescent="0.25">
      <c r="A16" s="45" t="s">
        <v>292</v>
      </c>
      <c r="B16" s="51"/>
    </row>
    <row r="17" spans="1:3" x14ac:dyDescent="0.25">
      <c r="A17" s="45" t="s">
        <v>295</v>
      </c>
      <c r="B17" s="51"/>
    </row>
    <row r="18" spans="1:3" x14ac:dyDescent="0.25">
      <c r="A18" s="45" t="s">
        <v>295</v>
      </c>
      <c r="B18" s="51"/>
    </row>
    <row r="19" spans="1:3" x14ac:dyDescent="0.25">
      <c r="A19" s="45" t="s">
        <v>295</v>
      </c>
      <c r="B19" s="51"/>
    </row>
    <row r="20" spans="1:3" x14ac:dyDescent="0.25">
      <c r="A20" s="45" t="s">
        <v>295</v>
      </c>
      <c r="B20" s="51"/>
    </row>
    <row r="21" spans="1:3" x14ac:dyDescent="0.25">
      <c r="A21" s="45" t="s">
        <v>305</v>
      </c>
      <c r="B21" s="51"/>
    </row>
    <row r="22" spans="1:3" x14ac:dyDescent="0.25">
      <c r="A22" s="45" t="s">
        <v>308</v>
      </c>
      <c r="B22" s="51"/>
    </row>
    <row r="23" spans="1:3" x14ac:dyDescent="0.25">
      <c r="A23" s="45" t="s">
        <v>312</v>
      </c>
      <c r="B23" s="51"/>
    </row>
    <row r="24" spans="1:3" x14ac:dyDescent="0.25">
      <c r="A24" s="45" t="s">
        <v>312</v>
      </c>
      <c r="B24" s="51"/>
    </row>
    <row r="25" spans="1:3" x14ac:dyDescent="0.25">
      <c r="A25" s="45" t="s">
        <v>308</v>
      </c>
      <c r="B25" s="51"/>
    </row>
    <row r="26" spans="1:3" x14ac:dyDescent="0.25">
      <c r="A26" s="45" t="s">
        <v>317</v>
      </c>
      <c r="B26" s="51"/>
    </row>
    <row r="27" spans="1:3" ht="16.5" x14ac:dyDescent="0.25">
      <c r="A27" s="1"/>
      <c r="B27" s="51"/>
    </row>
    <row r="28" spans="1:3" ht="16.5" x14ac:dyDescent="0.25">
      <c r="A28" s="21" t="s">
        <v>39</v>
      </c>
      <c r="B28" s="51"/>
    </row>
    <row r="29" spans="1:3" ht="16.5" x14ac:dyDescent="0.25">
      <c r="A29" s="21" t="s">
        <v>39</v>
      </c>
      <c r="B29" s="51"/>
    </row>
    <row r="30" spans="1:3" ht="16.5" x14ac:dyDescent="0.25">
      <c r="A30" s="21"/>
      <c r="B30" s="51"/>
    </row>
    <row r="31" spans="1:3" ht="16.5" x14ac:dyDescent="0.25">
      <c r="A31" s="21"/>
      <c r="B31" s="51"/>
    </row>
    <row r="32" spans="1:3" x14ac:dyDescent="0.25">
      <c r="A32" s="44" t="s">
        <v>334</v>
      </c>
      <c r="B32" s="51" t="s">
        <v>358</v>
      </c>
      <c r="C32" s="33" t="s">
        <v>357</v>
      </c>
    </row>
    <row r="33" spans="1:2" x14ac:dyDescent="0.25">
      <c r="A33" s="44" t="s">
        <v>334</v>
      </c>
      <c r="B33" s="51" t="s">
        <v>358</v>
      </c>
    </row>
    <row r="34" spans="1:2" x14ac:dyDescent="0.25">
      <c r="A34" s="44" t="s">
        <v>334</v>
      </c>
      <c r="B34" s="51" t="s">
        <v>358</v>
      </c>
    </row>
    <row r="35" spans="1:2" x14ac:dyDescent="0.25">
      <c r="A35" s="44" t="s">
        <v>341</v>
      </c>
      <c r="B35" s="51" t="s">
        <v>358</v>
      </c>
    </row>
    <row r="36" spans="1:2" x14ac:dyDescent="0.25">
      <c r="A36" s="44" t="s">
        <v>343</v>
      </c>
      <c r="B36" s="51" t="s">
        <v>358</v>
      </c>
    </row>
    <row r="37" spans="1:2" x14ac:dyDescent="0.25">
      <c r="A37" s="44" t="s">
        <v>345</v>
      </c>
      <c r="B37" s="51" t="s">
        <v>358</v>
      </c>
    </row>
    <row r="38" spans="1:2" x14ac:dyDescent="0.25">
      <c r="A38" s="44" t="s">
        <v>347</v>
      </c>
      <c r="B38" s="51" t="s">
        <v>358</v>
      </c>
    </row>
    <row r="39" spans="1:2" ht="16.5" x14ac:dyDescent="0.25">
      <c r="A39" s="31"/>
    </row>
    <row r="40" spans="1:2" ht="16.5" x14ac:dyDescent="0.25">
      <c r="A40" s="21"/>
    </row>
    <row r="41" spans="1:2" ht="16.5" x14ac:dyDescent="0.25">
      <c r="A41" s="21"/>
    </row>
    <row r="42" spans="1:2" ht="16.5" x14ac:dyDescent="0.25">
      <c r="A42" s="21"/>
    </row>
    <row r="43" spans="1:2" ht="16.5" x14ac:dyDescent="0.25">
      <c r="A43" s="21"/>
    </row>
    <row r="44" spans="1:2" ht="16.5" x14ac:dyDescent="0.25">
      <c r="A44" s="1"/>
    </row>
    <row r="45" spans="1:2" x14ac:dyDescent="0.25">
      <c r="A45" s="42" t="s">
        <v>321</v>
      </c>
    </row>
    <row r="46" spans="1:2" x14ac:dyDescent="0.25">
      <c r="A46" s="42" t="s">
        <v>324</v>
      </c>
    </row>
    <row r="47" spans="1:2" x14ac:dyDescent="0.25">
      <c r="A47" s="42" t="s">
        <v>327</v>
      </c>
    </row>
    <row r="48" spans="1:2" x14ac:dyDescent="0.25">
      <c r="A48" s="42" t="s">
        <v>330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8FA3CE11-518B-44EB-8B3F-831BE5036070}">
          <x14:formula1>
            <xm:f>Sheet2!$A$2:$A$112</xm:f>
          </x14:formula1>
          <xm:sqref>A11:A48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F4C4D-0530-4379-927B-1A08335DBC2E}">
  <dimension ref="A3:B9"/>
  <sheetViews>
    <sheetView zoomScale="235" zoomScaleNormal="235" workbookViewId="0">
      <selection activeCell="A7" sqref="A7"/>
    </sheetView>
  </sheetViews>
  <sheetFormatPr defaultRowHeight="15" x14ac:dyDescent="0.25"/>
  <cols>
    <col min="1" max="1" width="12.5703125" bestFit="1" customWidth="1"/>
    <col min="2" max="2" width="14.7109375" bestFit="1" customWidth="1"/>
  </cols>
  <sheetData>
    <row r="3" spans="1:2" x14ac:dyDescent="0.25">
      <c r="A3" s="18" t="s">
        <v>234</v>
      </c>
      <c r="B3" t="s">
        <v>236</v>
      </c>
    </row>
    <row r="4" spans="1:2" x14ac:dyDescent="0.25">
      <c r="A4" s="19" t="s">
        <v>227</v>
      </c>
      <c r="B4" s="20">
        <v>7</v>
      </c>
    </row>
    <row r="5" spans="1:2" x14ac:dyDescent="0.25">
      <c r="A5" s="19" t="s">
        <v>225</v>
      </c>
      <c r="B5" s="20">
        <v>13</v>
      </c>
    </row>
    <row r="6" spans="1:2" x14ac:dyDescent="0.25">
      <c r="A6" s="19" t="s">
        <v>226</v>
      </c>
      <c r="B6" s="20">
        <v>13</v>
      </c>
    </row>
    <row r="7" spans="1:2" x14ac:dyDescent="0.25">
      <c r="A7" s="19" t="s">
        <v>228</v>
      </c>
      <c r="B7" s="20">
        <v>9</v>
      </c>
    </row>
    <row r="8" spans="1:2" x14ac:dyDescent="0.25">
      <c r="A8" s="19" t="s">
        <v>229</v>
      </c>
      <c r="B8" s="20">
        <v>22</v>
      </c>
    </row>
    <row r="9" spans="1:2" x14ac:dyDescent="0.25">
      <c r="A9" s="19" t="s">
        <v>235</v>
      </c>
      <c r="B9" s="20">
        <v>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30450-9C78-4EEC-8D37-54357C0BB537}">
  <dimension ref="A2:I66"/>
  <sheetViews>
    <sheetView showGridLines="0" zoomScale="175" zoomScaleNormal="175" workbookViewId="0">
      <selection activeCell="I6" sqref="I6"/>
    </sheetView>
  </sheetViews>
  <sheetFormatPr defaultColWidth="8.85546875" defaultRowHeight="14.25" x14ac:dyDescent="0.2"/>
  <cols>
    <col min="1" max="1" width="14.28515625" style="2" customWidth="1"/>
    <col min="2" max="3" width="13.42578125" style="2" customWidth="1"/>
    <col min="4" max="4" width="15.7109375" style="2" customWidth="1"/>
    <col min="5" max="6" width="8.85546875" style="2"/>
    <col min="7" max="7" width="15" style="2" customWidth="1"/>
    <col min="8" max="16384" width="8.85546875" style="2"/>
  </cols>
  <sheetData>
    <row r="2" spans="1:9" s="3" customFormat="1" ht="19.899999999999999" customHeight="1" x14ac:dyDescent="0.25">
      <c r="A2" s="10" t="s">
        <v>230</v>
      </c>
      <c r="B2" s="11" t="s">
        <v>231</v>
      </c>
      <c r="C2" s="12" t="s">
        <v>233</v>
      </c>
      <c r="D2" s="13" t="s">
        <v>232</v>
      </c>
      <c r="G2" s="27" t="s">
        <v>198</v>
      </c>
      <c r="I2" s="3" t="str">
        <f>_xlfn.TEXTJOIN(", ",,G2:G28)</f>
        <v>Moamba, Matutuíne, Boane, Namaacha, Massinga, Vilankulo, Chókwè, Guijá, Chibuto, Sanga, Muembe, Ngauma, Chimbunila, Bilene, Mapai, Mandlakazi, Mabalane, Govuro, Mabote, Funhalouro, Zavala, Jangamo, Cuamba, Mecanhelas, Inharrime, Morrumbene, Homoíne</v>
      </c>
    </row>
    <row r="3" spans="1:9" x14ac:dyDescent="0.2">
      <c r="A3" s="7" t="s">
        <v>226</v>
      </c>
      <c r="B3" s="5" t="s">
        <v>198</v>
      </c>
      <c r="C3" s="4"/>
      <c r="D3" s="9"/>
      <c r="G3" s="5" t="s">
        <v>199</v>
      </c>
    </row>
    <row r="4" spans="1:9" x14ac:dyDescent="0.2">
      <c r="A4" s="7" t="s">
        <v>226</v>
      </c>
      <c r="B4" s="5" t="s">
        <v>199</v>
      </c>
      <c r="C4" s="4"/>
      <c r="D4" s="9"/>
      <c r="G4" s="27" t="s">
        <v>200</v>
      </c>
    </row>
    <row r="5" spans="1:9" x14ac:dyDescent="0.2">
      <c r="A5" s="7" t="s">
        <v>226</v>
      </c>
      <c r="B5" s="5" t="s">
        <v>200</v>
      </c>
      <c r="C5" s="4"/>
      <c r="D5" s="9"/>
      <c r="G5" s="5" t="s">
        <v>201</v>
      </c>
    </row>
    <row r="6" spans="1:9" x14ac:dyDescent="0.2">
      <c r="A6" s="7" t="s">
        <v>226</v>
      </c>
      <c r="B6" s="5" t="s">
        <v>201</v>
      </c>
      <c r="C6" s="4"/>
      <c r="D6" s="9"/>
      <c r="G6" s="27" t="s">
        <v>202</v>
      </c>
    </row>
    <row r="7" spans="1:9" x14ac:dyDescent="0.2">
      <c r="A7" s="7" t="s">
        <v>226</v>
      </c>
      <c r="B7" s="5" t="s">
        <v>202</v>
      </c>
      <c r="C7" s="4"/>
      <c r="D7" s="9"/>
      <c r="G7" s="5" t="s">
        <v>203</v>
      </c>
    </row>
    <row r="8" spans="1:9" x14ac:dyDescent="0.2">
      <c r="A8" s="7" t="s">
        <v>226</v>
      </c>
      <c r="B8" s="5" t="s">
        <v>203</v>
      </c>
      <c r="C8" s="4"/>
      <c r="D8" s="9"/>
      <c r="G8" s="27" t="s">
        <v>204</v>
      </c>
    </row>
    <row r="9" spans="1:9" x14ac:dyDescent="0.2">
      <c r="A9" s="7" t="s">
        <v>226</v>
      </c>
      <c r="B9" s="5" t="s">
        <v>204</v>
      </c>
      <c r="C9" s="4"/>
      <c r="D9" s="9"/>
      <c r="G9" s="5" t="s">
        <v>205</v>
      </c>
    </row>
    <row r="10" spans="1:9" x14ac:dyDescent="0.2">
      <c r="A10" s="7" t="s">
        <v>226</v>
      </c>
      <c r="B10" s="5" t="s">
        <v>205</v>
      </c>
      <c r="C10" s="4"/>
      <c r="D10" s="9"/>
      <c r="G10" s="27" t="s">
        <v>206</v>
      </c>
    </row>
    <row r="11" spans="1:9" x14ac:dyDescent="0.2">
      <c r="A11" s="7" t="s">
        <v>226</v>
      </c>
      <c r="B11" s="5" t="s">
        <v>206</v>
      </c>
      <c r="C11" s="4"/>
      <c r="D11" s="9"/>
      <c r="G11" s="5" t="s">
        <v>207</v>
      </c>
    </row>
    <row r="12" spans="1:9" x14ac:dyDescent="0.2">
      <c r="A12" s="7" t="s">
        <v>226</v>
      </c>
      <c r="B12" s="5" t="s">
        <v>207</v>
      </c>
      <c r="C12" s="4"/>
      <c r="D12" s="9"/>
      <c r="G12" s="27" t="s">
        <v>208</v>
      </c>
    </row>
    <row r="13" spans="1:9" x14ac:dyDescent="0.2">
      <c r="A13" s="7" t="s">
        <v>226</v>
      </c>
      <c r="B13" s="5" t="s">
        <v>208</v>
      </c>
      <c r="C13" s="4"/>
      <c r="D13" s="9"/>
      <c r="G13" s="5" t="s">
        <v>209</v>
      </c>
    </row>
    <row r="14" spans="1:9" x14ac:dyDescent="0.2">
      <c r="A14" s="7" t="s">
        <v>226</v>
      </c>
      <c r="B14" s="5" t="s">
        <v>209</v>
      </c>
      <c r="C14" s="4"/>
      <c r="D14" s="9"/>
      <c r="G14" s="27" t="s">
        <v>210</v>
      </c>
    </row>
    <row r="15" spans="1:9" x14ac:dyDescent="0.2">
      <c r="A15" s="7" t="s">
        <v>226</v>
      </c>
      <c r="B15" s="5" t="s">
        <v>210</v>
      </c>
      <c r="C15" s="4"/>
      <c r="D15" s="9"/>
      <c r="G15" s="5" t="s">
        <v>211</v>
      </c>
    </row>
    <row r="16" spans="1:9" x14ac:dyDescent="0.2">
      <c r="A16" s="7" t="s">
        <v>225</v>
      </c>
      <c r="B16" s="5" t="s">
        <v>211</v>
      </c>
      <c r="C16" s="4"/>
      <c r="D16" s="9"/>
      <c r="G16" s="27" t="s">
        <v>212</v>
      </c>
    </row>
    <row r="17" spans="1:7" x14ac:dyDescent="0.2">
      <c r="A17" s="7" t="s">
        <v>225</v>
      </c>
      <c r="B17" s="5" t="s">
        <v>212</v>
      </c>
      <c r="C17" s="4"/>
      <c r="D17" s="9"/>
      <c r="G17" s="5" t="s">
        <v>213</v>
      </c>
    </row>
    <row r="18" spans="1:7" x14ac:dyDescent="0.2">
      <c r="A18" s="7" t="s">
        <v>225</v>
      </c>
      <c r="B18" s="5" t="s">
        <v>213</v>
      </c>
      <c r="C18" s="4"/>
      <c r="D18" s="9"/>
      <c r="G18" s="27" t="s">
        <v>214</v>
      </c>
    </row>
    <row r="19" spans="1:7" x14ac:dyDescent="0.2">
      <c r="A19" s="7" t="s">
        <v>225</v>
      </c>
      <c r="B19" s="5" t="s">
        <v>214</v>
      </c>
      <c r="C19" s="4"/>
      <c r="D19" s="9"/>
      <c r="G19" s="5" t="s">
        <v>215</v>
      </c>
    </row>
    <row r="20" spans="1:7" x14ac:dyDescent="0.2">
      <c r="A20" s="7" t="s">
        <v>225</v>
      </c>
      <c r="B20" s="5" t="s">
        <v>215</v>
      </c>
      <c r="C20" s="4"/>
      <c r="D20" s="9"/>
      <c r="G20" s="27" t="s">
        <v>216</v>
      </c>
    </row>
    <row r="21" spans="1:7" x14ac:dyDescent="0.2">
      <c r="A21" s="7" t="s">
        <v>225</v>
      </c>
      <c r="B21" s="5" t="s">
        <v>216</v>
      </c>
      <c r="C21" s="4"/>
      <c r="D21" s="9"/>
      <c r="G21" s="5" t="s">
        <v>217</v>
      </c>
    </row>
    <row r="22" spans="1:7" x14ac:dyDescent="0.2">
      <c r="A22" s="7" t="s">
        <v>225</v>
      </c>
      <c r="B22" s="5" t="s">
        <v>217</v>
      </c>
      <c r="C22" s="4"/>
      <c r="D22" s="9"/>
      <c r="G22" s="5" t="s">
        <v>218</v>
      </c>
    </row>
    <row r="23" spans="1:7" x14ac:dyDescent="0.2">
      <c r="A23" s="7" t="s">
        <v>225</v>
      </c>
      <c r="B23" s="5" t="s">
        <v>202</v>
      </c>
      <c r="C23" s="4"/>
      <c r="D23" s="9"/>
      <c r="G23" s="27" t="s">
        <v>219</v>
      </c>
    </row>
    <row r="24" spans="1:7" x14ac:dyDescent="0.2">
      <c r="A24" s="7" t="s">
        <v>225</v>
      </c>
      <c r="B24" s="5" t="s">
        <v>218</v>
      </c>
      <c r="C24" s="4"/>
      <c r="D24" s="9"/>
      <c r="G24" s="5" t="s">
        <v>220</v>
      </c>
    </row>
    <row r="25" spans="1:7" x14ac:dyDescent="0.2">
      <c r="A25" s="7" t="s">
        <v>225</v>
      </c>
      <c r="B25" s="5" t="s">
        <v>219</v>
      </c>
      <c r="C25" s="4"/>
      <c r="D25" s="9"/>
      <c r="G25" s="27" t="s">
        <v>221</v>
      </c>
    </row>
    <row r="26" spans="1:7" x14ac:dyDescent="0.2">
      <c r="A26" s="7" t="s">
        <v>225</v>
      </c>
      <c r="B26" s="5" t="s">
        <v>220</v>
      </c>
      <c r="C26" s="4"/>
      <c r="D26" s="9"/>
      <c r="G26" s="27" t="s">
        <v>222</v>
      </c>
    </row>
    <row r="27" spans="1:7" x14ac:dyDescent="0.2">
      <c r="A27" s="7" t="s">
        <v>225</v>
      </c>
      <c r="B27" s="5" t="s">
        <v>221</v>
      </c>
      <c r="C27" s="4"/>
      <c r="D27" s="9"/>
      <c r="G27" s="27" t="s">
        <v>223</v>
      </c>
    </row>
    <row r="28" spans="1:7" x14ac:dyDescent="0.2">
      <c r="A28" s="7" t="s">
        <v>225</v>
      </c>
      <c r="B28" s="5" t="s">
        <v>209</v>
      </c>
      <c r="C28" s="4"/>
      <c r="D28" s="9"/>
      <c r="G28" s="27" t="s">
        <v>224</v>
      </c>
    </row>
    <row r="29" spans="1:7" ht="15" x14ac:dyDescent="0.25">
      <c r="A29" s="8" t="s">
        <v>227</v>
      </c>
      <c r="B29" s="5" t="s">
        <v>213</v>
      </c>
      <c r="C29" s="4"/>
      <c r="D29" s="9"/>
      <c r="G29"/>
    </row>
    <row r="30" spans="1:7" ht="15" x14ac:dyDescent="0.25">
      <c r="A30" s="8" t="s">
        <v>227</v>
      </c>
      <c r="B30" s="5" t="s">
        <v>218</v>
      </c>
      <c r="C30" s="4"/>
      <c r="D30" s="9"/>
      <c r="G30"/>
    </row>
    <row r="31" spans="1:7" ht="15" x14ac:dyDescent="0.25">
      <c r="A31" s="8" t="s">
        <v>227</v>
      </c>
      <c r="B31" s="5" t="s">
        <v>222</v>
      </c>
      <c r="C31" s="4"/>
      <c r="D31" s="9"/>
      <c r="G31"/>
    </row>
    <row r="32" spans="1:7" ht="15" x14ac:dyDescent="0.25">
      <c r="A32" s="8" t="s">
        <v>227</v>
      </c>
      <c r="B32" s="5" t="s">
        <v>219</v>
      </c>
      <c r="C32" s="4"/>
      <c r="D32" s="9"/>
      <c r="G32"/>
    </row>
    <row r="33" spans="1:7" ht="15" x14ac:dyDescent="0.25">
      <c r="A33" s="8" t="s">
        <v>227</v>
      </c>
      <c r="B33" s="5" t="s">
        <v>223</v>
      </c>
      <c r="C33" s="4"/>
      <c r="D33" s="9"/>
      <c r="G33"/>
    </row>
    <row r="34" spans="1:7" ht="15" x14ac:dyDescent="0.25">
      <c r="A34" s="8" t="s">
        <v>227</v>
      </c>
      <c r="B34" s="5" t="s">
        <v>202</v>
      </c>
      <c r="C34" s="4"/>
      <c r="D34" s="9"/>
      <c r="G34"/>
    </row>
    <row r="35" spans="1:7" ht="15" x14ac:dyDescent="0.25">
      <c r="A35" s="8" t="s">
        <v>227</v>
      </c>
      <c r="B35" s="5" t="s">
        <v>224</v>
      </c>
      <c r="C35" s="4"/>
      <c r="D35" s="9"/>
      <c r="G35"/>
    </row>
    <row r="36" spans="1:7" ht="15" x14ac:dyDescent="0.25">
      <c r="A36" s="8" t="s">
        <v>228</v>
      </c>
      <c r="B36" s="5" t="s">
        <v>198</v>
      </c>
      <c r="C36" s="4"/>
      <c r="D36" s="9"/>
      <c r="G36"/>
    </row>
    <row r="37" spans="1:7" ht="15" x14ac:dyDescent="0.25">
      <c r="A37" s="8" t="s">
        <v>228</v>
      </c>
      <c r="B37" s="6" t="s">
        <v>200</v>
      </c>
      <c r="C37" s="4"/>
      <c r="D37" s="9"/>
      <c r="G37"/>
    </row>
    <row r="38" spans="1:7" ht="15" x14ac:dyDescent="0.25">
      <c r="A38" s="8" t="s">
        <v>228</v>
      </c>
      <c r="B38" s="4" t="s">
        <v>201</v>
      </c>
      <c r="C38" s="4"/>
      <c r="D38" s="9"/>
      <c r="G38"/>
    </row>
    <row r="39" spans="1:7" ht="15" x14ac:dyDescent="0.25">
      <c r="A39" s="8" t="s">
        <v>228</v>
      </c>
      <c r="B39" s="4" t="s">
        <v>205</v>
      </c>
      <c r="C39" s="4"/>
      <c r="D39" s="9"/>
      <c r="G39"/>
    </row>
    <row r="40" spans="1:7" ht="15" x14ac:dyDescent="0.25">
      <c r="A40" s="8" t="s">
        <v>228</v>
      </c>
      <c r="B40" s="4" t="s">
        <v>204</v>
      </c>
      <c r="C40" s="4"/>
      <c r="D40" s="9"/>
      <c r="G40"/>
    </row>
    <row r="41" spans="1:7" ht="15" x14ac:dyDescent="0.25">
      <c r="A41" s="8" t="s">
        <v>228</v>
      </c>
      <c r="B41" s="4" t="s">
        <v>202</v>
      </c>
      <c r="C41" s="4"/>
      <c r="D41" s="9"/>
      <c r="G41"/>
    </row>
    <row r="42" spans="1:7" ht="15" x14ac:dyDescent="0.25">
      <c r="A42" s="8" t="s">
        <v>228</v>
      </c>
      <c r="B42" s="4" t="s">
        <v>210</v>
      </c>
      <c r="C42" s="4"/>
      <c r="D42" s="9"/>
      <c r="G42"/>
    </row>
    <row r="43" spans="1:7" ht="15" x14ac:dyDescent="0.25">
      <c r="A43" s="8" t="s">
        <v>228</v>
      </c>
      <c r="B43" s="4" t="s">
        <v>208</v>
      </c>
      <c r="C43" s="4"/>
      <c r="D43" s="9"/>
      <c r="G43"/>
    </row>
    <row r="44" spans="1:7" ht="15" x14ac:dyDescent="0.25">
      <c r="A44" s="8" t="s">
        <v>228</v>
      </c>
      <c r="B44" s="4" t="s">
        <v>207</v>
      </c>
      <c r="C44" s="4"/>
      <c r="D44" s="9"/>
      <c r="G44"/>
    </row>
    <row r="45" spans="1:7" ht="15" x14ac:dyDescent="0.25">
      <c r="A45" s="8" t="s">
        <v>229</v>
      </c>
      <c r="B45" s="5" t="s">
        <v>199</v>
      </c>
      <c r="C45" s="4"/>
      <c r="D45" s="9"/>
      <c r="G45"/>
    </row>
    <row r="46" spans="1:7" ht="15" x14ac:dyDescent="0.25">
      <c r="A46" s="8" t="s">
        <v>229</v>
      </c>
      <c r="B46" s="5" t="s">
        <v>200</v>
      </c>
      <c r="C46" s="4"/>
      <c r="D46" s="9"/>
      <c r="G46"/>
    </row>
    <row r="47" spans="1:7" ht="15" x14ac:dyDescent="0.25">
      <c r="A47" s="8" t="s">
        <v>229</v>
      </c>
      <c r="B47" s="5" t="s">
        <v>202</v>
      </c>
      <c r="C47" s="4"/>
      <c r="D47" s="9"/>
      <c r="G47"/>
    </row>
    <row r="48" spans="1:7" ht="15" x14ac:dyDescent="0.25">
      <c r="A48" s="8" t="s">
        <v>229</v>
      </c>
      <c r="B48" s="5" t="s">
        <v>203</v>
      </c>
      <c r="C48" s="4"/>
      <c r="D48" s="9"/>
      <c r="G48"/>
    </row>
    <row r="49" spans="1:7" ht="15" x14ac:dyDescent="0.25">
      <c r="A49" s="8" t="s">
        <v>229</v>
      </c>
      <c r="B49" s="5" t="s">
        <v>204</v>
      </c>
      <c r="C49" s="4"/>
      <c r="D49" s="9"/>
      <c r="G49"/>
    </row>
    <row r="50" spans="1:7" ht="15" x14ac:dyDescent="0.25">
      <c r="A50" s="8" t="s">
        <v>229</v>
      </c>
      <c r="B50" s="5" t="s">
        <v>205</v>
      </c>
      <c r="C50" s="4"/>
      <c r="D50" s="9"/>
      <c r="G50"/>
    </row>
    <row r="51" spans="1:7" ht="15" x14ac:dyDescent="0.25">
      <c r="A51" s="8" t="s">
        <v>229</v>
      </c>
      <c r="B51" s="5" t="s">
        <v>206</v>
      </c>
      <c r="C51" s="4"/>
      <c r="D51" s="9"/>
      <c r="G51"/>
    </row>
    <row r="52" spans="1:7" ht="15" x14ac:dyDescent="0.25">
      <c r="A52" s="8" t="s">
        <v>229</v>
      </c>
      <c r="B52" s="5" t="s">
        <v>207</v>
      </c>
      <c r="C52" s="4"/>
      <c r="D52" s="9"/>
      <c r="G52"/>
    </row>
    <row r="53" spans="1:7" ht="15" x14ac:dyDescent="0.25">
      <c r="A53" s="8" t="s">
        <v>229</v>
      </c>
      <c r="B53" s="5" t="s">
        <v>208</v>
      </c>
      <c r="C53" s="4"/>
      <c r="D53" s="9"/>
      <c r="G53"/>
    </row>
    <row r="54" spans="1:7" ht="15" x14ac:dyDescent="0.25">
      <c r="A54" s="8" t="s">
        <v>229</v>
      </c>
      <c r="B54" s="5" t="s">
        <v>209</v>
      </c>
      <c r="C54" s="4"/>
      <c r="D54" s="9"/>
      <c r="G54"/>
    </row>
    <row r="55" spans="1:7" ht="15" x14ac:dyDescent="0.25">
      <c r="A55" s="8" t="s">
        <v>229</v>
      </c>
      <c r="B55" s="5" t="s">
        <v>210</v>
      </c>
      <c r="C55" s="4"/>
      <c r="D55" s="9"/>
      <c r="G55"/>
    </row>
    <row r="56" spans="1:7" ht="15" x14ac:dyDescent="0.25">
      <c r="A56" s="8" t="s">
        <v>229</v>
      </c>
      <c r="B56" s="5" t="s">
        <v>211</v>
      </c>
      <c r="C56" s="4"/>
      <c r="D56" s="9"/>
      <c r="G56"/>
    </row>
    <row r="57" spans="1:7" ht="15" x14ac:dyDescent="0.25">
      <c r="A57" s="8" t="s">
        <v>229</v>
      </c>
      <c r="B57" s="5" t="s">
        <v>212</v>
      </c>
      <c r="C57" s="4"/>
      <c r="D57" s="9"/>
      <c r="G57"/>
    </row>
    <row r="58" spans="1:7" ht="15" x14ac:dyDescent="0.25">
      <c r="A58" s="8" t="s">
        <v>229</v>
      </c>
      <c r="B58" s="5" t="s">
        <v>213</v>
      </c>
      <c r="C58" s="4"/>
      <c r="D58" s="9"/>
      <c r="G58"/>
    </row>
    <row r="59" spans="1:7" ht="15" x14ac:dyDescent="0.25">
      <c r="A59" s="8" t="s">
        <v>229</v>
      </c>
      <c r="B59" s="5" t="s">
        <v>214</v>
      </c>
      <c r="C59" s="4"/>
      <c r="D59" s="9"/>
      <c r="G59"/>
    </row>
    <row r="60" spans="1:7" ht="15" x14ac:dyDescent="0.25">
      <c r="A60" s="8" t="s">
        <v>229</v>
      </c>
      <c r="B60" s="5" t="s">
        <v>215</v>
      </c>
      <c r="C60" s="4"/>
      <c r="D60" s="9"/>
      <c r="G60"/>
    </row>
    <row r="61" spans="1:7" ht="15" x14ac:dyDescent="0.25">
      <c r="A61" s="8" t="s">
        <v>229</v>
      </c>
      <c r="B61" s="5" t="s">
        <v>216</v>
      </c>
      <c r="C61" s="4"/>
      <c r="D61" s="9"/>
      <c r="G61"/>
    </row>
    <row r="62" spans="1:7" ht="15" x14ac:dyDescent="0.25">
      <c r="A62" s="8" t="s">
        <v>229</v>
      </c>
      <c r="B62" s="5" t="s">
        <v>218</v>
      </c>
      <c r="C62" s="4"/>
      <c r="D62" s="9"/>
      <c r="G62"/>
    </row>
    <row r="63" spans="1:7" ht="15" x14ac:dyDescent="0.25">
      <c r="A63" s="8" t="s">
        <v>229</v>
      </c>
      <c r="B63" s="5" t="s">
        <v>219</v>
      </c>
      <c r="C63" s="4"/>
      <c r="D63" s="9"/>
      <c r="G63"/>
    </row>
    <row r="64" spans="1:7" ht="15" x14ac:dyDescent="0.25">
      <c r="A64" s="8" t="s">
        <v>229</v>
      </c>
      <c r="B64" s="5" t="s">
        <v>222</v>
      </c>
      <c r="C64" s="4"/>
      <c r="D64" s="9"/>
      <c r="G64"/>
    </row>
    <row r="65" spans="1:7" ht="15" x14ac:dyDescent="0.25">
      <c r="A65" s="8" t="s">
        <v>229</v>
      </c>
      <c r="B65" s="5" t="s">
        <v>223</v>
      </c>
      <c r="C65" s="4"/>
      <c r="D65" s="9"/>
      <c r="G65"/>
    </row>
    <row r="66" spans="1:7" ht="15" x14ac:dyDescent="0.25">
      <c r="A66" s="14" t="s">
        <v>229</v>
      </c>
      <c r="B66" s="15" t="s">
        <v>224</v>
      </c>
      <c r="C66" s="16"/>
      <c r="D66" s="17"/>
      <c r="G66"/>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C39E0-8CEC-4581-B121-34EAD75DAD5A}">
  <dimension ref="A1:B112"/>
  <sheetViews>
    <sheetView topLeftCell="A82" zoomScale="190" zoomScaleNormal="190" workbookViewId="0">
      <selection activeCell="A94" sqref="A94"/>
    </sheetView>
  </sheetViews>
  <sheetFormatPr defaultRowHeight="15" x14ac:dyDescent="0.25"/>
  <cols>
    <col min="1" max="1" width="83" bestFit="1" customWidth="1"/>
    <col min="2" max="2" width="22.5703125" bestFit="1" customWidth="1"/>
  </cols>
  <sheetData>
    <row r="1" spans="1:2" x14ac:dyDescent="0.25">
      <c r="A1" t="s">
        <v>115</v>
      </c>
      <c r="B1" t="s">
        <v>116</v>
      </c>
    </row>
    <row r="2" spans="1:2" x14ac:dyDescent="0.25">
      <c r="A2" t="s">
        <v>43</v>
      </c>
      <c r="B2" t="s">
        <v>141</v>
      </c>
    </row>
    <row r="3" spans="1:2" x14ac:dyDescent="0.25">
      <c r="A3" t="s">
        <v>44</v>
      </c>
      <c r="B3" t="s">
        <v>131</v>
      </c>
    </row>
    <row r="4" spans="1:2" x14ac:dyDescent="0.25">
      <c r="A4" t="s">
        <v>74</v>
      </c>
      <c r="B4" t="s">
        <v>153</v>
      </c>
    </row>
    <row r="5" spans="1:2" x14ac:dyDescent="0.25">
      <c r="A5" t="s">
        <v>97</v>
      </c>
      <c r="B5" t="s">
        <v>147</v>
      </c>
    </row>
    <row r="6" spans="1:2" x14ac:dyDescent="0.25">
      <c r="A6" t="s">
        <v>87</v>
      </c>
      <c r="B6" t="s">
        <v>164</v>
      </c>
    </row>
    <row r="7" spans="1:2" x14ac:dyDescent="0.25">
      <c r="A7" t="s">
        <v>76</v>
      </c>
      <c r="B7" t="s">
        <v>155</v>
      </c>
    </row>
    <row r="8" spans="1:2" x14ac:dyDescent="0.25">
      <c r="A8" t="s">
        <v>15</v>
      </c>
      <c r="B8" t="s">
        <v>119</v>
      </c>
    </row>
    <row r="9" spans="1:2" x14ac:dyDescent="0.25">
      <c r="A9" t="s">
        <v>103</v>
      </c>
      <c r="B9" t="s">
        <v>177</v>
      </c>
    </row>
    <row r="10" spans="1:2" x14ac:dyDescent="0.25">
      <c r="A10" t="s">
        <v>9</v>
      </c>
      <c r="B10" t="s">
        <v>120</v>
      </c>
    </row>
    <row r="11" spans="1:2" x14ac:dyDescent="0.25">
      <c r="A11" t="s">
        <v>8</v>
      </c>
      <c r="B11" t="s">
        <v>120</v>
      </c>
    </row>
    <row r="12" spans="1:2" x14ac:dyDescent="0.25">
      <c r="A12" t="s">
        <v>93</v>
      </c>
      <c r="B12" t="s">
        <v>159</v>
      </c>
    </row>
    <row r="13" spans="1:2" x14ac:dyDescent="0.25">
      <c r="A13" t="s">
        <v>42</v>
      </c>
      <c r="B13" t="s">
        <v>135</v>
      </c>
    </row>
    <row r="14" spans="1:2" x14ac:dyDescent="0.25">
      <c r="A14" t="s">
        <v>41</v>
      </c>
      <c r="B14" t="s">
        <v>140</v>
      </c>
    </row>
    <row r="15" spans="1:2" x14ac:dyDescent="0.25">
      <c r="A15" t="s">
        <v>70</v>
      </c>
      <c r="B15" t="s">
        <v>150</v>
      </c>
    </row>
    <row r="16" spans="1:2" x14ac:dyDescent="0.25">
      <c r="A16" t="s">
        <v>90</v>
      </c>
      <c r="B16" t="s">
        <v>167</v>
      </c>
    </row>
    <row r="17" spans="1:2" x14ac:dyDescent="0.25">
      <c r="A17" t="s">
        <v>26</v>
      </c>
      <c r="B17" t="s">
        <v>129</v>
      </c>
    </row>
    <row r="18" spans="1:2" x14ac:dyDescent="0.25">
      <c r="A18" t="s">
        <v>49</v>
      </c>
      <c r="B18" t="s">
        <v>145</v>
      </c>
    </row>
    <row r="19" spans="1:2" x14ac:dyDescent="0.25">
      <c r="A19" t="s">
        <v>53</v>
      </c>
      <c r="B19" t="s">
        <v>145</v>
      </c>
    </row>
    <row r="20" spans="1:2" x14ac:dyDescent="0.25">
      <c r="A20" t="s">
        <v>24</v>
      </c>
      <c r="B20" t="s">
        <v>128</v>
      </c>
    </row>
    <row r="21" spans="1:2" x14ac:dyDescent="0.25">
      <c r="A21" t="s">
        <v>64</v>
      </c>
      <c r="B21" t="s">
        <v>147</v>
      </c>
    </row>
    <row r="22" spans="1:2" x14ac:dyDescent="0.25">
      <c r="A22" t="s">
        <v>89</v>
      </c>
      <c r="B22" t="s">
        <v>166</v>
      </c>
    </row>
    <row r="23" spans="1:2" x14ac:dyDescent="0.25">
      <c r="A23" t="s">
        <v>71</v>
      </c>
      <c r="B23" t="s">
        <v>151</v>
      </c>
    </row>
    <row r="24" spans="1:2" x14ac:dyDescent="0.25">
      <c r="A24" t="s">
        <v>106</v>
      </c>
      <c r="B24" t="s">
        <v>179</v>
      </c>
    </row>
    <row r="25" spans="1:2" x14ac:dyDescent="0.25">
      <c r="A25" t="s">
        <v>107</v>
      </c>
      <c r="B25" t="s">
        <v>163</v>
      </c>
    </row>
    <row r="26" spans="1:2" x14ac:dyDescent="0.25">
      <c r="A26" t="s">
        <v>91</v>
      </c>
      <c r="B26" t="s">
        <v>168</v>
      </c>
    </row>
    <row r="27" spans="1:2" x14ac:dyDescent="0.25">
      <c r="A27" t="s">
        <v>112</v>
      </c>
      <c r="B27" t="s">
        <v>183</v>
      </c>
    </row>
    <row r="28" spans="1:2" x14ac:dyDescent="0.25">
      <c r="A28" t="s">
        <v>39</v>
      </c>
      <c r="B28" t="s">
        <v>138</v>
      </c>
    </row>
    <row r="29" spans="1:2" x14ac:dyDescent="0.25">
      <c r="A29" t="s">
        <v>13</v>
      </c>
      <c r="B29" t="s">
        <v>122</v>
      </c>
    </row>
    <row r="30" spans="1:2" x14ac:dyDescent="0.25">
      <c r="A30" t="s">
        <v>12</v>
      </c>
      <c r="B30" t="s">
        <v>122</v>
      </c>
    </row>
    <row r="31" spans="1:2" x14ac:dyDescent="0.25">
      <c r="A31" t="s">
        <v>11</v>
      </c>
      <c r="B31" t="s">
        <v>122</v>
      </c>
    </row>
    <row r="32" spans="1:2" x14ac:dyDescent="0.25">
      <c r="A32" t="s">
        <v>66</v>
      </c>
      <c r="B32" t="s">
        <v>122</v>
      </c>
    </row>
    <row r="33" spans="1:2" x14ac:dyDescent="0.25">
      <c r="A33" t="s">
        <v>34</v>
      </c>
      <c r="B33" t="s">
        <v>122</v>
      </c>
    </row>
    <row r="34" spans="1:2" x14ac:dyDescent="0.25">
      <c r="A34" t="s">
        <v>30</v>
      </c>
      <c r="B34" t="s">
        <v>131</v>
      </c>
    </row>
    <row r="35" spans="1:2" x14ac:dyDescent="0.25">
      <c r="A35" t="s">
        <v>54</v>
      </c>
      <c r="B35" t="s">
        <v>146</v>
      </c>
    </row>
    <row r="36" spans="1:2" x14ac:dyDescent="0.25">
      <c r="A36" t="s">
        <v>31</v>
      </c>
      <c r="B36" t="s">
        <v>132</v>
      </c>
    </row>
    <row r="37" spans="1:2" x14ac:dyDescent="0.25">
      <c r="A37" t="s">
        <v>57</v>
      </c>
      <c r="B37" t="s">
        <v>147</v>
      </c>
    </row>
    <row r="38" spans="1:2" x14ac:dyDescent="0.25">
      <c r="A38" t="s">
        <v>56</v>
      </c>
      <c r="B38" t="s">
        <v>147</v>
      </c>
    </row>
    <row r="39" spans="1:2" x14ac:dyDescent="0.25">
      <c r="A39" t="s">
        <v>55</v>
      </c>
      <c r="B39" t="s">
        <v>147</v>
      </c>
    </row>
    <row r="40" spans="1:2" x14ac:dyDescent="0.25">
      <c r="A40" t="s">
        <v>83</v>
      </c>
      <c r="B40" t="s">
        <v>161</v>
      </c>
    </row>
    <row r="41" spans="1:2" x14ac:dyDescent="0.25">
      <c r="A41" t="s">
        <v>51</v>
      </c>
      <c r="B41" t="s">
        <v>119</v>
      </c>
    </row>
    <row r="42" spans="1:2" x14ac:dyDescent="0.25">
      <c r="A42" t="s">
        <v>50</v>
      </c>
      <c r="B42" t="s">
        <v>146</v>
      </c>
    </row>
    <row r="43" spans="1:2" x14ac:dyDescent="0.25">
      <c r="A43" t="s">
        <v>14</v>
      </c>
      <c r="B43" t="s">
        <v>119</v>
      </c>
    </row>
    <row r="44" spans="1:2" x14ac:dyDescent="0.25">
      <c r="A44" t="s">
        <v>72</v>
      </c>
      <c r="B44" t="s">
        <v>152</v>
      </c>
    </row>
    <row r="45" spans="1:2" x14ac:dyDescent="0.25">
      <c r="A45" t="s">
        <v>99</v>
      </c>
      <c r="B45" t="s">
        <v>173</v>
      </c>
    </row>
    <row r="46" spans="1:2" x14ac:dyDescent="0.25">
      <c r="A46" t="s">
        <v>10</v>
      </c>
      <c r="B46" t="s">
        <v>121</v>
      </c>
    </row>
    <row r="47" spans="1:2" x14ac:dyDescent="0.25">
      <c r="A47" t="s">
        <v>25</v>
      </c>
      <c r="B47" t="s">
        <v>128</v>
      </c>
    </row>
    <row r="48" spans="1:2" x14ac:dyDescent="0.25">
      <c r="A48" t="s">
        <v>59</v>
      </c>
      <c r="B48" t="s">
        <v>147</v>
      </c>
    </row>
    <row r="49" spans="1:2" x14ac:dyDescent="0.25">
      <c r="A49" t="s">
        <v>65</v>
      </c>
      <c r="B49" t="s">
        <v>147</v>
      </c>
    </row>
    <row r="50" spans="1:2" x14ac:dyDescent="0.25">
      <c r="A50" t="s">
        <v>21</v>
      </c>
      <c r="B50" t="s">
        <v>126</v>
      </c>
    </row>
    <row r="51" spans="1:2" x14ac:dyDescent="0.25">
      <c r="A51" t="s">
        <v>20</v>
      </c>
      <c r="B51" t="s">
        <v>126</v>
      </c>
    </row>
    <row r="52" spans="1:2" x14ac:dyDescent="0.25">
      <c r="A52" t="s">
        <v>185</v>
      </c>
      <c r="B52" t="s">
        <v>126</v>
      </c>
    </row>
    <row r="53" spans="1:2" x14ac:dyDescent="0.25">
      <c r="A53" t="s">
        <v>184</v>
      </c>
      <c r="B53" t="s">
        <v>126</v>
      </c>
    </row>
    <row r="54" spans="1:2" x14ac:dyDescent="0.25">
      <c r="A54" t="s">
        <v>98</v>
      </c>
      <c r="B54" t="s">
        <v>172</v>
      </c>
    </row>
    <row r="55" spans="1:2" x14ac:dyDescent="0.25">
      <c r="A55" t="s">
        <v>113</v>
      </c>
      <c r="B55" t="s">
        <v>183</v>
      </c>
    </row>
    <row r="56" spans="1:2" x14ac:dyDescent="0.25">
      <c r="A56" t="s">
        <v>35</v>
      </c>
      <c r="B56" t="s">
        <v>134</v>
      </c>
    </row>
    <row r="57" spans="1:2" x14ac:dyDescent="0.25">
      <c r="A57" t="s">
        <v>62</v>
      </c>
      <c r="B57" t="s">
        <v>147</v>
      </c>
    </row>
    <row r="58" spans="1:2" x14ac:dyDescent="0.25">
      <c r="A58" t="s">
        <v>36</v>
      </c>
      <c r="B58" t="s">
        <v>135</v>
      </c>
    </row>
    <row r="59" spans="1:2" x14ac:dyDescent="0.25">
      <c r="A59" t="s">
        <v>16</v>
      </c>
      <c r="B59" t="s">
        <v>119</v>
      </c>
    </row>
    <row r="60" spans="1:2" x14ac:dyDescent="0.25">
      <c r="A60" t="s">
        <v>95</v>
      </c>
      <c r="B60" t="s">
        <v>170</v>
      </c>
    </row>
    <row r="61" spans="1:2" x14ac:dyDescent="0.25">
      <c r="A61" t="s">
        <v>96</v>
      </c>
      <c r="B61" t="s">
        <v>171</v>
      </c>
    </row>
    <row r="62" spans="1:2" x14ac:dyDescent="0.25">
      <c r="A62" t="s">
        <v>100</v>
      </c>
      <c r="B62" t="s">
        <v>174</v>
      </c>
    </row>
    <row r="63" spans="1:2" x14ac:dyDescent="0.25">
      <c r="A63" t="s">
        <v>77</v>
      </c>
      <c r="B63" t="s">
        <v>156</v>
      </c>
    </row>
    <row r="64" spans="1:2" x14ac:dyDescent="0.25">
      <c r="A64" t="s">
        <v>78</v>
      </c>
      <c r="B64" t="s">
        <v>157</v>
      </c>
    </row>
    <row r="65" spans="1:2" x14ac:dyDescent="0.25">
      <c r="A65" t="s">
        <v>101</v>
      </c>
      <c r="B65" t="s">
        <v>175</v>
      </c>
    </row>
    <row r="66" spans="1:2" x14ac:dyDescent="0.25">
      <c r="A66" t="s">
        <v>52</v>
      </c>
      <c r="B66" t="s">
        <v>147</v>
      </c>
    </row>
    <row r="67" spans="1:2" x14ac:dyDescent="0.25">
      <c r="A67" t="s">
        <v>111</v>
      </c>
      <c r="B67" t="s">
        <v>182</v>
      </c>
    </row>
    <row r="68" spans="1:2" x14ac:dyDescent="0.25">
      <c r="A68" t="s">
        <v>38</v>
      </c>
      <c r="B68" t="s">
        <v>137</v>
      </c>
    </row>
    <row r="69" spans="1:2" x14ac:dyDescent="0.25">
      <c r="A69" t="s">
        <v>18</v>
      </c>
      <c r="B69" t="s">
        <v>124</v>
      </c>
    </row>
    <row r="70" spans="1:2" x14ac:dyDescent="0.25">
      <c r="A70" t="s">
        <v>37</v>
      </c>
      <c r="B70" t="s">
        <v>136</v>
      </c>
    </row>
    <row r="71" spans="1:2" x14ac:dyDescent="0.25">
      <c r="A71" t="s">
        <v>32</v>
      </c>
      <c r="B71" t="s">
        <v>133</v>
      </c>
    </row>
    <row r="72" spans="1:2" x14ac:dyDescent="0.25">
      <c r="A72" t="s">
        <v>33</v>
      </c>
      <c r="B72" t="s">
        <v>125</v>
      </c>
    </row>
    <row r="73" spans="1:2" x14ac:dyDescent="0.25">
      <c r="A73" t="s">
        <v>29</v>
      </c>
      <c r="B73" t="s">
        <v>125</v>
      </c>
    </row>
    <row r="74" spans="1:2" x14ac:dyDescent="0.25">
      <c r="A74" t="s">
        <v>102</v>
      </c>
      <c r="B74" t="s">
        <v>176</v>
      </c>
    </row>
    <row r="75" spans="1:2" x14ac:dyDescent="0.25">
      <c r="A75" t="s">
        <v>109</v>
      </c>
      <c r="B75" t="s">
        <v>180</v>
      </c>
    </row>
    <row r="76" spans="1:2" x14ac:dyDescent="0.25">
      <c r="A76" t="s">
        <v>73</v>
      </c>
      <c r="B76" t="s">
        <v>152</v>
      </c>
    </row>
    <row r="77" spans="1:2" x14ac:dyDescent="0.25">
      <c r="A77" t="s">
        <v>40</v>
      </c>
      <c r="B77" t="s">
        <v>139</v>
      </c>
    </row>
    <row r="78" spans="1:2" x14ac:dyDescent="0.25">
      <c r="A78" t="s">
        <v>108</v>
      </c>
      <c r="B78" t="s">
        <v>128</v>
      </c>
    </row>
    <row r="79" spans="1:2" x14ac:dyDescent="0.25">
      <c r="A79" t="s">
        <v>86</v>
      </c>
      <c r="B79" t="s">
        <v>119</v>
      </c>
    </row>
    <row r="80" spans="1:2" x14ac:dyDescent="0.25">
      <c r="A80" t="s">
        <v>85</v>
      </c>
      <c r="B80" t="s">
        <v>163</v>
      </c>
    </row>
    <row r="81" spans="1:2" x14ac:dyDescent="0.25">
      <c r="A81" t="s">
        <v>75</v>
      </c>
      <c r="B81" t="s">
        <v>154</v>
      </c>
    </row>
    <row r="82" spans="1:2" x14ac:dyDescent="0.25">
      <c r="A82" t="s">
        <v>105</v>
      </c>
      <c r="B82" t="s">
        <v>178</v>
      </c>
    </row>
    <row r="83" spans="1:2" x14ac:dyDescent="0.25">
      <c r="A83" t="s">
        <v>58</v>
      </c>
      <c r="B83" t="s">
        <v>148</v>
      </c>
    </row>
    <row r="84" spans="1:2" x14ac:dyDescent="0.25">
      <c r="A84" t="s">
        <v>61</v>
      </c>
      <c r="B84" t="s">
        <v>147</v>
      </c>
    </row>
    <row r="85" spans="1:2" x14ac:dyDescent="0.25">
      <c r="A85" t="s">
        <v>104</v>
      </c>
      <c r="B85" t="s">
        <v>127</v>
      </c>
    </row>
    <row r="86" spans="1:2" x14ac:dyDescent="0.25">
      <c r="A86" t="s">
        <v>17</v>
      </c>
      <c r="B86" t="s">
        <v>123</v>
      </c>
    </row>
    <row r="87" spans="1:2" x14ac:dyDescent="0.25">
      <c r="A87" t="s">
        <v>88</v>
      </c>
      <c r="B87" t="s">
        <v>165</v>
      </c>
    </row>
    <row r="88" spans="1:2" x14ac:dyDescent="0.25">
      <c r="A88" t="s">
        <v>22</v>
      </c>
      <c r="B88" t="s">
        <v>127</v>
      </c>
    </row>
    <row r="89" spans="1:2" x14ac:dyDescent="0.25">
      <c r="A89" t="s">
        <v>23</v>
      </c>
      <c r="B89" t="s">
        <v>127</v>
      </c>
    </row>
    <row r="90" spans="1:2" x14ac:dyDescent="0.25">
      <c r="A90" t="s">
        <v>186</v>
      </c>
      <c r="B90" t="s">
        <v>127</v>
      </c>
    </row>
    <row r="91" spans="1:2" x14ac:dyDescent="0.25">
      <c r="A91" t="s">
        <v>27</v>
      </c>
      <c r="B91" t="s">
        <v>128</v>
      </c>
    </row>
    <row r="92" spans="1:2" x14ac:dyDescent="0.25">
      <c r="A92" t="s">
        <v>63</v>
      </c>
      <c r="B92" t="s">
        <v>147</v>
      </c>
    </row>
    <row r="93" spans="1:2" x14ac:dyDescent="0.25">
      <c r="A93" t="s">
        <v>94</v>
      </c>
      <c r="B93" t="s">
        <v>159</v>
      </c>
    </row>
    <row r="94" spans="1:2" x14ac:dyDescent="0.25">
      <c r="A94" t="s">
        <v>19</v>
      </c>
      <c r="B94" t="s">
        <v>125</v>
      </c>
    </row>
    <row r="95" spans="1:2" x14ac:dyDescent="0.25">
      <c r="A95" t="s">
        <v>117</v>
      </c>
      <c r="B95" t="s">
        <v>118</v>
      </c>
    </row>
    <row r="96" spans="1:2" x14ac:dyDescent="0.25">
      <c r="A96" t="s">
        <v>114</v>
      </c>
      <c r="B96" t="s">
        <v>128</v>
      </c>
    </row>
    <row r="97" spans="1:2" x14ac:dyDescent="0.25">
      <c r="A97" t="s">
        <v>84</v>
      </c>
      <c r="B97" t="s">
        <v>162</v>
      </c>
    </row>
    <row r="98" spans="1:2" x14ac:dyDescent="0.25">
      <c r="A98" t="s">
        <v>79</v>
      </c>
      <c r="B98" t="s">
        <v>158</v>
      </c>
    </row>
    <row r="99" spans="1:2" x14ac:dyDescent="0.25">
      <c r="A99" t="s">
        <v>110</v>
      </c>
      <c r="B99" t="s">
        <v>181</v>
      </c>
    </row>
    <row r="100" spans="1:2" x14ac:dyDescent="0.25">
      <c r="A100" t="s">
        <v>60</v>
      </c>
      <c r="B100" t="s">
        <v>147</v>
      </c>
    </row>
    <row r="101" spans="1:2" x14ac:dyDescent="0.25">
      <c r="A101" t="s">
        <v>81</v>
      </c>
      <c r="B101" t="s">
        <v>159</v>
      </c>
    </row>
    <row r="102" spans="1:2" x14ac:dyDescent="0.25">
      <c r="A102" t="s">
        <v>69</v>
      </c>
      <c r="B102" t="s">
        <v>149</v>
      </c>
    </row>
    <row r="103" spans="1:2" x14ac:dyDescent="0.25">
      <c r="A103" t="s">
        <v>68</v>
      </c>
      <c r="B103" t="s">
        <v>143</v>
      </c>
    </row>
    <row r="104" spans="1:2" x14ac:dyDescent="0.25">
      <c r="A104" t="s">
        <v>46</v>
      </c>
      <c r="B104" t="s">
        <v>143</v>
      </c>
    </row>
    <row r="105" spans="1:2" x14ac:dyDescent="0.25">
      <c r="A105" t="s">
        <v>47</v>
      </c>
      <c r="B105" t="s">
        <v>143</v>
      </c>
    </row>
    <row r="106" spans="1:2" x14ac:dyDescent="0.25">
      <c r="A106" t="s">
        <v>67</v>
      </c>
      <c r="B106" t="s">
        <v>143</v>
      </c>
    </row>
    <row r="107" spans="1:2" x14ac:dyDescent="0.25">
      <c r="A107" t="s">
        <v>45</v>
      </c>
      <c r="B107" t="s">
        <v>142</v>
      </c>
    </row>
    <row r="108" spans="1:2" x14ac:dyDescent="0.25">
      <c r="A108" t="s">
        <v>28</v>
      </c>
      <c r="B108" t="s">
        <v>130</v>
      </c>
    </row>
    <row r="109" spans="1:2" x14ac:dyDescent="0.25">
      <c r="A109" t="s">
        <v>48</v>
      </c>
      <c r="B109" t="s">
        <v>144</v>
      </c>
    </row>
    <row r="110" spans="1:2" x14ac:dyDescent="0.25">
      <c r="A110" t="s">
        <v>80</v>
      </c>
      <c r="B110" t="s">
        <v>159</v>
      </c>
    </row>
    <row r="111" spans="1:2" x14ac:dyDescent="0.25">
      <c r="A111" t="s">
        <v>82</v>
      </c>
      <c r="B111" t="s">
        <v>160</v>
      </c>
    </row>
    <row r="112" spans="1:2" x14ac:dyDescent="0.25">
      <c r="A112" t="s">
        <v>92</v>
      </c>
      <c r="B112" t="s">
        <v>169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1588E-5DC7-48BB-B9CA-CA339C6F966A}">
  <dimension ref="B2:R62"/>
  <sheetViews>
    <sheetView topLeftCell="A10" zoomScale="130" zoomScaleNormal="130" workbookViewId="0">
      <selection activeCell="G33" sqref="G33"/>
    </sheetView>
  </sheetViews>
  <sheetFormatPr defaultColWidth="8.85546875" defaultRowHeight="16.5" x14ac:dyDescent="0.25"/>
  <cols>
    <col min="1" max="1" width="8.85546875" style="54"/>
    <col min="2" max="2" width="45.140625" style="54" bestFit="1" customWidth="1"/>
    <col min="3" max="3" width="64" style="64" customWidth="1"/>
    <col min="4" max="4" width="36.85546875" style="53" hidden="1" customWidth="1"/>
    <col min="5" max="5" width="57.7109375" style="68" hidden="1" customWidth="1"/>
    <col min="6" max="6" width="36.85546875" style="54" bestFit="1" customWidth="1"/>
    <col min="7" max="7" width="27.28515625" style="54" bestFit="1" customWidth="1"/>
    <col min="8" max="8" width="8.7109375" style="54" bestFit="1" customWidth="1"/>
    <col min="9" max="9" width="3.42578125" style="54" customWidth="1"/>
    <col min="10" max="10" width="37.140625" style="55" customWidth="1"/>
    <col min="11" max="11" width="23.28515625" style="53" customWidth="1"/>
    <col min="12" max="12" width="18.7109375" style="56" bestFit="1" customWidth="1"/>
    <col min="13" max="13" width="15.140625" style="56" bestFit="1" customWidth="1"/>
    <col min="14" max="14" width="43.7109375" style="56" bestFit="1" customWidth="1"/>
    <col min="15" max="15" width="27.28515625" style="54" bestFit="1" customWidth="1"/>
    <col min="16" max="16" width="8.85546875" style="54"/>
    <col min="17" max="17" width="10.28515625" style="54" bestFit="1" customWidth="1"/>
    <col min="18" max="18" width="12.7109375" style="54" bestFit="1" customWidth="1"/>
    <col min="19" max="16384" width="8.85546875" style="54"/>
  </cols>
  <sheetData>
    <row r="2" spans="2:18" x14ac:dyDescent="0.25">
      <c r="B2" s="54" t="s">
        <v>261</v>
      </c>
      <c r="C2" s="64" t="s">
        <v>262</v>
      </c>
      <c r="D2" s="53" t="s">
        <v>263</v>
      </c>
      <c r="F2" s="54" t="s">
        <v>264</v>
      </c>
      <c r="G2" s="54" t="s">
        <v>265</v>
      </c>
      <c r="J2" s="55" t="s">
        <v>266</v>
      </c>
      <c r="K2" s="53" t="s">
        <v>267</v>
      </c>
      <c r="L2" s="56" t="s">
        <v>268</v>
      </c>
      <c r="M2" s="56" t="s">
        <v>269</v>
      </c>
      <c r="N2" s="56" t="s">
        <v>270</v>
      </c>
    </row>
    <row r="3" spans="2:18" s="40" customFormat="1" x14ac:dyDescent="0.25">
      <c r="C3" s="34"/>
      <c r="E3" s="68"/>
      <c r="G3" s="40" t="s">
        <v>271</v>
      </c>
      <c r="H3" s="40" t="s">
        <v>272</v>
      </c>
      <c r="I3" s="40" t="s">
        <v>273</v>
      </c>
      <c r="N3" s="57"/>
    </row>
    <row r="4" spans="2:18" s="40" customFormat="1" x14ac:dyDescent="0.25">
      <c r="B4" s="40" t="s">
        <v>351</v>
      </c>
      <c r="C4" s="34" t="s">
        <v>274</v>
      </c>
      <c r="D4" s="40">
        <v>25</v>
      </c>
      <c r="E4" s="68" t="s">
        <v>366</v>
      </c>
      <c r="F4" s="40" t="s">
        <v>275</v>
      </c>
      <c r="G4" s="40">
        <v>25</v>
      </c>
      <c r="H4" s="40">
        <v>10</v>
      </c>
      <c r="I4" s="40">
        <v>15</v>
      </c>
      <c r="J4" s="40" t="s">
        <v>276</v>
      </c>
      <c r="K4" s="40" t="s">
        <v>277</v>
      </c>
      <c r="L4" s="40">
        <v>200000</v>
      </c>
      <c r="M4" s="40">
        <v>5000000</v>
      </c>
      <c r="N4" s="57">
        <v>78125</v>
      </c>
      <c r="Q4" s="57">
        <v>3156.5656565656568</v>
      </c>
      <c r="R4" s="57">
        <v>78914.141414141413</v>
      </c>
    </row>
    <row r="5" spans="2:18" s="40" customFormat="1" x14ac:dyDescent="0.25">
      <c r="C5" s="34" t="s">
        <v>278</v>
      </c>
      <c r="D5" s="40">
        <v>1</v>
      </c>
      <c r="E5" s="68" t="s">
        <v>362</v>
      </c>
      <c r="F5" s="40" t="s">
        <v>279</v>
      </c>
      <c r="G5" s="40">
        <v>1</v>
      </c>
      <c r="H5" s="40">
        <v>1</v>
      </c>
      <c r="I5" s="40">
        <v>0</v>
      </c>
      <c r="L5" s="40">
        <v>3200000</v>
      </c>
      <c r="M5" s="40">
        <v>3200000</v>
      </c>
      <c r="N5" s="57">
        <v>50000</v>
      </c>
      <c r="Q5" s="57">
        <v>50505.050505050509</v>
      </c>
      <c r="R5" s="57">
        <v>50505.050505050509</v>
      </c>
    </row>
    <row r="6" spans="2:18" s="40" customFormat="1" ht="30" x14ac:dyDescent="0.25">
      <c r="C6" s="34" t="s">
        <v>280</v>
      </c>
      <c r="D6" s="40">
        <v>80</v>
      </c>
      <c r="E6" s="68" t="s">
        <v>366</v>
      </c>
      <c r="F6" s="40" t="s">
        <v>281</v>
      </c>
      <c r="G6" s="40">
        <v>80</v>
      </c>
      <c r="H6" s="40">
        <v>40</v>
      </c>
      <c r="I6" s="40">
        <v>40</v>
      </c>
      <c r="J6" s="40" t="s">
        <v>282</v>
      </c>
      <c r="K6" s="40" t="s">
        <v>283</v>
      </c>
      <c r="L6" s="40">
        <v>115200</v>
      </c>
      <c r="M6" s="40">
        <v>9216000</v>
      </c>
      <c r="N6" s="57">
        <v>144000</v>
      </c>
      <c r="Q6" s="57">
        <v>1818.1818181818182</v>
      </c>
      <c r="R6" s="57">
        <v>145454.54545454544</v>
      </c>
    </row>
    <row r="7" spans="2:18" s="40" customFormat="1" x14ac:dyDescent="0.25">
      <c r="C7" s="34" t="s">
        <v>284</v>
      </c>
      <c r="D7" s="40">
        <v>450000</v>
      </c>
      <c r="E7" s="48" t="s">
        <v>13</v>
      </c>
      <c r="F7" s="40" t="s">
        <v>285</v>
      </c>
      <c r="G7" s="40">
        <v>90</v>
      </c>
      <c r="H7" s="40">
        <v>30</v>
      </c>
      <c r="I7" s="40">
        <v>60</v>
      </c>
      <c r="J7" s="40" t="s">
        <v>286</v>
      </c>
      <c r="K7" s="40" t="s">
        <v>287</v>
      </c>
      <c r="L7" s="40">
        <v>8</v>
      </c>
      <c r="M7" s="40">
        <v>3600000</v>
      </c>
      <c r="N7" s="57">
        <v>56250</v>
      </c>
      <c r="Q7" s="57">
        <v>0.12626262626262627</v>
      </c>
      <c r="R7" s="57">
        <v>56818.181818181816</v>
      </c>
    </row>
    <row r="8" spans="2:18" s="40" customFormat="1" ht="25.9" customHeight="1" x14ac:dyDescent="0.25">
      <c r="C8" s="34" t="s">
        <v>288</v>
      </c>
      <c r="D8" s="40">
        <v>192000</v>
      </c>
      <c r="E8" s="48" t="s">
        <v>13</v>
      </c>
      <c r="F8" s="40" t="s">
        <v>289</v>
      </c>
      <c r="G8" s="40">
        <v>90</v>
      </c>
      <c r="H8" s="40">
        <v>30</v>
      </c>
      <c r="I8" s="40">
        <v>60</v>
      </c>
      <c r="J8" s="40" t="s">
        <v>290</v>
      </c>
      <c r="K8" s="40" t="s">
        <v>287</v>
      </c>
      <c r="L8" s="40">
        <v>96</v>
      </c>
      <c r="M8" s="40">
        <v>18432000</v>
      </c>
      <c r="N8" s="57">
        <v>288000</v>
      </c>
      <c r="Q8" s="57">
        <v>1.5151515151515151</v>
      </c>
      <c r="R8" s="57">
        <v>290909.09090909088</v>
      </c>
    </row>
    <row r="9" spans="2:18" s="40" customFormat="1" ht="30" x14ac:dyDescent="0.25">
      <c r="C9" s="34" t="s">
        <v>291</v>
      </c>
      <c r="D9" s="40">
        <v>8</v>
      </c>
      <c r="E9" s="68" t="s">
        <v>362</v>
      </c>
      <c r="F9" s="40" t="s">
        <v>292</v>
      </c>
      <c r="G9" s="40">
        <v>90</v>
      </c>
      <c r="H9" s="40">
        <v>30</v>
      </c>
      <c r="I9" s="40">
        <v>60</v>
      </c>
      <c r="J9" s="40" t="s">
        <v>293</v>
      </c>
      <c r="K9" s="40" t="s">
        <v>287</v>
      </c>
      <c r="L9" s="40">
        <v>35200</v>
      </c>
      <c r="M9" s="40">
        <v>281600</v>
      </c>
      <c r="N9" s="57">
        <v>4400</v>
      </c>
      <c r="Q9" s="57">
        <v>555.55555555555554</v>
      </c>
      <c r="R9" s="57">
        <v>4444.4444444444443</v>
      </c>
    </row>
    <row r="10" spans="2:18" ht="33" x14ac:dyDescent="0.25">
      <c r="C10" s="64" t="s">
        <v>294</v>
      </c>
      <c r="D10" s="53">
        <v>6</v>
      </c>
      <c r="E10" s="69" t="s">
        <v>359</v>
      </c>
      <c r="F10" s="54" t="s">
        <v>295</v>
      </c>
      <c r="G10" s="54">
        <v>30</v>
      </c>
      <c r="H10" s="54">
        <v>15</v>
      </c>
      <c r="I10" s="54">
        <v>15</v>
      </c>
      <c r="K10" s="53" t="s">
        <v>296</v>
      </c>
      <c r="L10" s="56">
        <v>494080</v>
      </c>
      <c r="M10" s="56">
        <v>2964480</v>
      </c>
      <c r="N10" s="56">
        <v>46320</v>
      </c>
      <c r="Q10" s="56">
        <v>7797.9797979797977</v>
      </c>
      <c r="R10" s="56">
        <v>46787.878787878792</v>
      </c>
    </row>
    <row r="11" spans="2:18" ht="99" x14ac:dyDescent="0.25">
      <c r="C11" s="64" t="s">
        <v>297</v>
      </c>
      <c r="D11" s="53">
        <v>6</v>
      </c>
      <c r="E11" s="68" t="s">
        <v>361</v>
      </c>
      <c r="F11" s="54" t="s">
        <v>295</v>
      </c>
      <c r="G11" s="54">
        <v>90</v>
      </c>
      <c r="H11" s="54">
        <v>30</v>
      </c>
      <c r="I11" s="54">
        <v>60</v>
      </c>
      <c r="J11" s="55" t="s">
        <v>298</v>
      </c>
      <c r="K11" s="53" t="s">
        <v>296</v>
      </c>
      <c r="L11" s="56">
        <v>96000</v>
      </c>
      <c r="M11" s="56">
        <v>576000</v>
      </c>
      <c r="N11" s="56">
        <v>9000</v>
      </c>
      <c r="Q11" s="56">
        <v>1515.1515151515152</v>
      </c>
      <c r="R11" s="56">
        <v>9090.9090909090901</v>
      </c>
    </row>
    <row r="12" spans="2:18" ht="66" x14ac:dyDescent="0.25">
      <c r="C12" s="64" t="s">
        <v>299</v>
      </c>
      <c r="D12" s="53">
        <v>3</v>
      </c>
      <c r="E12" s="68" t="s">
        <v>361</v>
      </c>
      <c r="F12" s="54" t="s">
        <v>295</v>
      </c>
      <c r="G12" s="54">
        <v>90</v>
      </c>
      <c r="H12" s="54">
        <v>30</v>
      </c>
      <c r="I12" s="54">
        <v>60</v>
      </c>
      <c r="J12" s="55" t="s">
        <v>300</v>
      </c>
      <c r="K12" s="53" t="s">
        <v>301</v>
      </c>
      <c r="L12" s="56">
        <v>324637</v>
      </c>
      <c r="M12" s="56">
        <v>973911</v>
      </c>
      <c r="N12" s="56">
        <v>15217.359375</v>
      </c>
      <c r="Q12" s="56">
        <v>5123.6900252525256</v>
      </c>
      <c r="R12" s="56">
        <v>15371.070075757576</v>
      </c>
    </row>
    <row r="13" spans="2:18" ht="82.5" x14ac:dyDescent="0.25">
      <c r="C13" s="64" t="s">
        <v>302</v>
      </c>
      <c r="D13" s="53">
        <v>3</v>
      </c>
      <c r="E13" s="68" t="s">
        <v>360</v>
      </c>
      <c r="F13" s="54" t="s">
        <v>295</v>
      </c>
      <c r="G13" s="54">
        <v>90</v>
      </c>
      <c r="H13" s="54">
        <v>30</v>
      </c>
      <c r="I13" s="54">
        <v>60</v>
      </c>
      <c r="J13" s="55" t="s">
        <v>303</v>
      </c>
      <c r="K13" s="53" t="s">
        <v>301</v>
      </c>
      <c r="L13" s="56">
        <v>324637</v>
      </c>
      <c r="M13" s="56">
        <v>973911</v>
      </c>
      <c r="N13" s="56">
        <v>15217.359375</v>
      </c>
      <c r="Q13" s="56">
        <v>5123.6900252525256</v>
      </c>
      <c r="R13" s="56">
        <v>15371.070075757576</v>
      </c>
    </row>
    <row r="14" spans="2:18" s="40" customFormat="1" ht="60" x14ac:dyDescent="0.25">
      <c r="C14" s="34" t="s">
        <v>304</v>
      </c>
      <c r="D14" s="40">
        <v>15</v>
      </c>
      <c r="E14" s="68" t="s">
        <v>364</v>
      </c>
      <c r="F14" s="40" t="s">
        <v>305</v>
      </c>
      <c r="G14" s="40">
        <v>15</v>
      </c>
      <c r="H14" s="40">
        <v>7</v>
      </c>
      <c r="I14" s="40">
        <v>8</v>
      </c>
      <c r="J14" s="40" t="s">
        <v>306</v>
      </c>
      <c r="K14" s="40" t="s">
        <v>301</v>
      </c>
      <c r="L14" s="40">
        <v>128000</v>
      </c>
      <c r="M14" s="40">
        <v>1920000</v>
      </c>
      <c r="N14" s="57">
        <v>30000</v>
      </c>
      <c r="Q14" s="57">
        <v>2020.2020202020203</v>
      </c>
      <c r="R14" s="57">
        <v>30303.030303030304</v>
      </c>
    </row>
    <row r="15" spans="2:18" s="40" customFormat="1" ht="30" x14ac:dyDescent="0.25">
      <c r="C15" s="34" t="s">
        <v>307</v>
      </c>
      <c r="D15" s="40">
        <v>15</v>
      </c>
      <c r="E15" s="48" t="s">
        <v>365</v>
      </c>
      <c r="F15" s="40" t="s">
        <v>308</v>
      </c>
      <c r="G15" s="40">
        <v>15</v>
      </c>
      <c r="H15" s="40">
        <v>7</v>
      </c>
      <c r="I15" s="40">
        <v>8</v>
      </c>
      <c r="J15" s="40" t="s">
        <v>309</v>
      </c>
      <c r="K15" s="40" t="s">
        <v>310</v>
      </c>
      <c r="L15" s="40">
        <v>147200</v>
      </c>
      <c r="M15" s="40">
        <v>2208000</v>
      </c>
      <c r="N15" s="57">
        <v>34500</v>
      </c>
      <c r="Q15" s="57">
        <v>2323.2323232323233</v>
      </c>
      <c r="R15" s="57">
        <v>34848.484848484848</v>
      </c>
    </row>
    <row r="16" spans="2:18" s="67" customFormat="1" x14ac:dyDescent="0.25">
      <c r="C16" s="71" t="s">
        <v>311</v>
      </c>
      <c r="D16" s="67">
        <v>48</v>
      </c>
      <c r="E16" s="68"/>
      <c r="F16" s="67" t="s">
        <v>312</v>
      </c>
      <c r="G16" s="67">
        <v>90</v>
      </c>
      <c r="H16" s="67">
        <v>30</v>
      </c>
      <c r="I16" s="67">
        <v>60</v>
      </c>
      <c r="J16" s="67" t="s">
        <v>313</v>
      </c>
      <c r="K16" s="67" t="s">
        <v>296</v>
      </c>
      <c r="L16" s="67">
        <v>6400</v>
      </c>
      <c r="M16" s="67">
        <v>307200</v>
      </c>
      <c r="N16" s="72">
        <v>4800</v>
      </c>
      <c r="Q16" s="72">
        <v>101.01010101010101</v>
      </c>
      <c r="R16" s="72">
        <v>4848.484848484849</v>
      </c>
    </row>
    <row r="17" spans="2:18" s="67" customFormat="1" ht="30" x14ac:dyDescent="0.25">
      <c r="C17" s="71" t="s">
        <v>314</v>
      </c>
      <c r="D17" s="67">
        <v>10</v>
      </c>
      <c r="E17" s="68"/>
      <c r="F17" s="67" t="s">
        <v>312</v>
      </c>
      <c r="K17" s="67" t="s">
        <v>296</v>
      </c>
      <c r="L17" s="67">
        <v>324637</v>
      </c>
      <c r="M17" s="67">
        <v>3246370</v>
      </c>
      <c r="N17" s="72">
        <v>50724.53125</v>
      </c>
      <c r="Q17" s="72">
        <v>5123.6900252525256</v>
      </c>
      <c r="R17" s="72">
        <v>51236.900252525251</v>
      </c>
    </row>
    <row r="18" spans="2:18" s="40" customFormat="1" ht="30" x14ac:dyDescent="0.25">
      <c r="C18" s="34" t="s">
        <v>315</v>
      </c>
      <c r="D18" s="40">
        <v>90</v>
      </c>
      <c r="E18" s="68" t="s">
        <v>362</v>
      </c>
      <c r="F18" s="40" t="s">
        <v>308</v>
      </c>
      <c r="G18" s="40">
        <v>90</v>
      </c>
      <c r="H18" s="40">
        <v>30</v>
      </c>
      <c r="I18" s="40">
        <v>60</v>
      </c>
      <c r="L18" s="40">
        <v>34000</v>
      </c>
      <c r="M18" s="40">
        <v>3060000</v>
      </c>
      <c r="N18" s="57">
        <v>47812.5</v>
      </c>
      <c r="Q18" s="57">
        <v>536.61616161616166</v>
      </c>
      <c r="R18" s="57">
        <v>48295.454545454544</v>
      </c>
    </row>
    <row r="19" spans="2:18" s="40" customFormat="1" x14ac:dyDescent="0.25">
      <c r="C19" s="34" t="s">
        <v>316</v>
      </c>
      <c r="D19" s="40">
        <v>3</v>
      </c>
      <c r="E19" s="68" t="s">
        <v>367</v>
      </c>
      <c r="F19" s="40" t="s">
        <v>317</v>
      </c>
      <c r="G19" s="40">
        <v>90</v>
      </c>
      <c r="H19" s="40">
        <v>30</v>
      </c>
      <c r="I19" s="40">
        <v>60</v>
      </c>
      <c r="K19" s="40" t="s">
        <v>318</v>
      </c>
      <c r="L19" s="40">
        <v>324637</v>
      </c>
      <c r="M19" s="40">
        <v>973911</v>
      </c>
      <c r="N19" s="57">
        <v>15217.359375</v>
      </c>
      <c r="Q19" s="57">
        <v>5123.6900252525256</v>
      </c>
      <c r="R19" s="57">
        <v>15371.070075757576</v>
      </c>
    </row>
    <row r="20" spans="2:18" s="40" customFormat="1" ht="30" x14ac:dyDescent="0.3">
      <c r="B20" s="40" t="s">
        <v>319</v>
      </c>
      <c r="C20" s="34" t="s">
        <v>320</v>
      </c>
      <c r="D20" s="40">
        <v>46</v>
      </c>
      <c r="E20" s="73" t="s">
        <v>106</v>
      </c>
      <c r="F20" s="40" t="s">
        <v>321</v>
      </c>
      <c r="G20" s="40">
        <v>90</v>
      </c>
      <c r="H20" s="40">
        <v>30</v>
      </c>
      <c r="I20" s="40">
        <v>60</v>
      </c>
      <c r="J20" s="40" t="s">
        <v>322</v>
      </c>
      <c r="K20" s="40" t="s">
        <v>301</v>
      </c>
      <c r="L20" s="40">
        <v>10000</v>
      </c>
      <c r="M20" s="40">
        <v>460000</v>
      </c>
      <c r="N20" s="57">
        <v>7187.5</v>
      </c>
      <c r="Q20" s="57">
        <v>157.82828282828282</v>
      </c>
      <c r="R20" s="57">
        <v>7260.1010101010106</v>
      </c>
    </row>
    <row r="21" spans="2:18" s="40" customFormat="1" ht="30" x14ac:dyDescent="0.25">
      <c r="C21" s="34" t="s">
        <v>323</v>
      </c>
      <c r="D21" s="40">
        <v>7</v>
      </c>
      <c r="E21" s="68" t="s">
        <v>363</v>
      </c>
      <c r="F21" s="40" t="s">
        <v>324</v>
      </c>
      <c r="G21" s="40">
        <v>90</v>
      </c>
      <c r="H21" s="40">
        <v>30</v>
      </c>
      <c r="I21" s="40">
        <v>60</v>
      </c>
      <c r="J21" s="40" t="s">
        <v>325</v>
      </c>
      <c r="K21" s="40" t="s">
        <v>301</v>
      </c>
      <c r="L21" s="40">
        <v>715000</v>
      </c>
      <c r="M21" s="40">
        <v>5005000</v>
      </c>
      <c r="N21" s="57">
        <v>78203.125</v>
      </c>
      <c r="Q21" s="57">
        <v>11284.722222222223</v>
      </c>
      <c r="R21" s="57">
        <v>78993.055555555562</v>
      </c>
    </row>
    <row r="22" spans="2:18" s="40" customFormat="1" x14ac:dyDescent="0.25">
      <c r="C22" s="34" t="s">
        <v>326</v>
      </c>
      <c r="D22" s="40">
        <v>276</v>
      </c>
      <c r="E22" s="68"/>
      <c r="F22" s="40" t="s">
        <v>327</v>
      </c>
      <c r="G22" s="40">
        <v>90</v>
      </c>
      <c r="H22" s="40">
        <v>30</v>
      </c>
      <c r="I22" s="40">
        <v>60</v>
      </c>
      <c r="J22" s="40" t="s">
        <v>328</v>
      </c>
      <c r="K22" s="40" t="s">
        <v>301</v>
      </c>
      <c r="L22" s="40">
        <v>7000</v>
      </c>
      <c r="M22" s="40">
        <v>1932000</v>
      </c>
      <c r="N22" s="57">
        <v>30187.5</v>
      </c>
      <c r="Q22" s="57">
        <v>110.47979797979798</v>
      </c>
      <c r="R22" s="57">
        <v>30492.424242424244</v>
      </c>
    </row>
    <row r="23" spans="2:18" s="40" customFormat="1" ht="30" x14ac:dyDescent="0.25">
      <c r="C23" s="34" t="s">
        <v>329</v>
      </c>
      <c r="D23" s="40">
        <v>3</v>
      </c>
      <c r="E23" s="68"/>
      <c r="F23" s="40" t="s">
        <v>330</v>
      </c>
      <c r="G23" s="40">
        <v>500</v>
      </c>
      <c r="H23" s="40">
        <v>200</v>
      </c>
      <c r="I23" s="40">
        <v>300</v>
      </c>
      <c r="J23" s="40" t="s">
        <v>331</v>
      </c>
      <c r="K23" s="40" t="s">
        <v>301</v>
      </c>
      <c r="L23" s="40">
        <v>128000</v>
      </c>
      <c r="M23" s="40">
        <v>384000</v>
      </c>
      <c r="N23" s="57">
        <v>6000</v>
      </c>
      <c r="Q23" s="57">
        <v>2020.2020202020203</v>
      </c>
      <c r="R23" s="57">
        <v>6060.606060606061</v>
      </c>
    </row>
    <row r="24" spans="2:18" s="40" customFormat="1" ht="45" x14ac:dyDescent="0.25">
      <c r="B24" s="40" t="s">
        <v>332</v>
      </c>
      <c r="C24" s="34" t="s">
        <v>333</v>
      </c>
      <c r="D24" s="40">
        <v>25</v>
      </c>
      <c r="E24" s="68" t="s">
        <v>362</v>
      </c>
      <c r="F24" s="40" t="s">
        <v>334</v>
      </c>
      <c r="G24" s="40">
        <v>25</v>
      </c>
      <c r="H24" s="40">
        <v>10</v>
      </c>
      <c r="I24" s="40">
        <v>15</v>
      </c>
      <c r="J24" s="40" t="s">
        <v>335</v>
      </c>
      <c r="K24" s="40" t="s">
        <v>277</v>
      </c>
      <c r="L24" s="40">
        <v>70000</v>
      </c>
      <c r="M24" s="40">
        <v>1750000</v>
      </c>
      <c r="N24" s="57">
        <v>27343.75</v>
      </c>
      <c r="Q24" s="57">
        <v>1104.7979797979799</v>
      </c>
      <c r="R24" s="57">
        <v>27619.949494949495</v>
      </c>
    </row>
    <row r="25" spans="2:18" s="40" customFormat="1" x14ac:dyDescent="0.25">
      <c r="C25" s="34" t="s">
        <v>336</v>
      </c>
      <c r="D25" s="40">
        <v>60</v>
      </c>
      <c r="E25" s="48" t="s">
        <v>13</v>
      </c>
      <c r="F25" s="40" t="s">
        <v>334</v>
      </c>
      <c r="G25" s="40">
        <v>60</v>
      </c>
      <c r="H25" s="40">
        <v>30</v>
      </c>
      <c r="I25" s="40">
        <v>30</v>
      </c>
      <c r="J25" s="40" t="s">
        <v>337</v>
      </c>
      <c r="K25" s="40" t="s">
        <v>277</v>
      </c>
      <c r="L25" s="40">
        <v>115200</v>
      </c>
      <c r="M25" s="40">
        <v>6912000</v>
      </c>
      <c r="N25" s="57">
        <v>108000</v>
      </c>
      <c r="Q25" s="57">
        <v>1818.1818181818182</v>
      </c>
      <c r="R25" s="57">
        <v>109090.90909090909</v>
      </c>
    </row>
    <row r="26" spans="2:18" s="40" customFormat="1" ht="30" x14ac:dyDescent="0.25">
      <c r="C26" s="34" t="s">
        <v>338</v>
      </c>
      <c r="D26" s="40">
        <v>15</v>
      </c>
      <c r="E26" s="48" t="s">
        <v>13</v>
      </c>
      <c r="F26" s="40" t="s">
        <v>334</v>
      </c>
      <c r="G26" s="40">
        <v>15</v>
      </c>
      <c r="H26" s="40">
        <v>8</v>
      </c>
      <c r="I26" s="40">
        <v>7</v>
      </c>
      <c r="J26" s="40" t="s">
        <v>339</v>
      </c>
      <c r="K26" s="40" t="s">
        <v>277</v>
      </c>
      <c r="L26" s="40">
        <v>200000</v>
      </c>
      <c r="M26" s="40">
        <v>3000000</v>
      </c>
      <c r="N26" s="57">
        <v>46875</v>
      </c>
      <c r="Q26" s="57">
        <v>3156.5656565656568</v>
      </c>
      <c r="R26" s="57">
        <v>47348.484848484848</v>
      </c>
    </row>
    <row r="27" spans="2:18" s="40" customFormat="1" ht="30" x14ac:dyDescent="0.25">
      <c r="C27" s="34" t="s">
        <v>340</v>
      </c>
      <c r="D27" s="40">
        <v>1</v>
      </c>
      <c r="E27" s="48" t="s">
        <v>13</v>
      </c>
      <c r="F27" s="40" t="s">
        <v>341</v>
      </c>
      <c r="G27" s="40">
        <v>1</v>
      </c>
      <c r="H27" s="40">
        <v>1</v>
      </c>
      <c r="I27" s="40">
        <v>0</v>
      </c>
      <c r="L27" s="40">
        <v>4800000</v>
      </c>
      <c r="M27" s="40">
        <v>4800000</v>
      </c>
      <c r="N27" s="57">
        <v>75000</v>
      </c>
      <c r="Q27" s="57">
        <v>75757.57575757576</v>
      </c>
      <c r="R27" s="57">
        <v>75757.57575757576</v>
      </c>
    </row>
    <row r="28" spans="2:18" s="40" customFormat="1" x14ac:dyDescent="0.25">
      <c r="C28" s="34" t="s">
        <v>342</v>
      </c>
      <c r="D28" s="40">
        <v>3</v>
      </c>
      <c r="E28" s="48" t="s">
        <v>13</v>
      </c>
      <c r="F28" s="40" t="s">
        <v>343</v>
      </c>
      <c r="G28" s="40">
        <v>3</v>
      </c>
      <c r="H28" s="40">
        <v>2</v>
      </c>
      <c r="I28" s="40">
        <v>1</v>
      </c>
      <c r="L28" s="40">
        <v>2560000</v>
      </c>
      <c r="M28" s="40">
        <v>7680000</v>
      </c>
      <c r="N28" s="57">
        <v>120000</v>
      </c>
      <c r="Q28" s="57">
        <v>40404.040404040403</v>
      </c>
      <c r="R28" s="57">
        <v>121212.12121212122</v>
      </c>
    </row>
    <row r="29" spans="2:18" s="40" customFormat="1" x14ac:dyDescent="0.25">
      <c r="C29" s="34" t="s">
        <v>344</v>
      </c>
      <c r="D29" s="40">
        <v>15</v>
      </c>
      <c r="E29" s="48" t="s">
        <v>13</v>
      </c>
      <c r="F29" s="40" t="s">
        <v>345</v>
      </c>
      <c r="G29" s="40">
        <v>15</v>
      </c>
      <c r="H29" s="40">
        <v>8</v>
      </c>
      <c r="I29" s="40">
        <v>7</v>
      </c>
      <c r="L29" s="40">
        <v>200000</v>
      </c>
      <c r="M29" s="40">
        <v>3000000</v>
      </c>
      <c r="N29" s="57">
        <v>46875</v>
      </c>
      <c r="Q29" s="57">
        <v>3156.5656565656568</v>
      </c>
      <c r="R29" s="57">
        <v>47348.484848484848</v>
      </c>
    </row>
    <row r="30" spans="2:18" s="40" customFormat="1" x14ac:dyDescent="0.25">
      <c r="C30" s="34" t="s">
        <v>346</v>
      </c>
      <c r="D30" s="40">
        <v>60</v>
      </c>
      <c r="E30" s="48" t="s">
        <v>13</v>
      </c>
      <c r="F30" s="40" t="s">
        <v>347</v>
      </c>
      <c r="G30" s="40">
        <v>60</v>
      </c>
      <c r="H30" s="40">
        <v>30</v>
      </c>
      <c r="I30" s="40">
        <v>30</v>
      </c>
      <c r="L30" s="40">
        <v>80000</v>
      </c>
      <c r="M30" s="40">
        <v>4800000</v>
      </c>
      <c r="N30" s="57">
        <v>75000</v>
      </c>
      <c r="Q30" s="57">
        <v>1262.6262626262626</v>
      </c>
      <c r="R30" s="57">
        <v>75757.57575757576</v>
      </c>
    </row>
    <row r="31" spans="2:18" s="40" customFormat="1" x14ac:dyDescent="0.25">
      <c r="B31" s="40" t="s">
        <v>348</v>
      </c>
      <c r="C31" s="34"/>
      <c r="E31" s="68"/>
      <c r="M31" s="40">
        <v>96656383</v>
      </c>
      <c r="N31" s="57">
        <v>1510255.984375</v>
      </c>
      <c r="Q31" s="57">
        <v>0</v>
      </c>
      <c r="R31" s="57">
        <v>1525511.0953282828</v>
      </c>
    </row>
    <row r="32" spans="2:18" s="40" customFormat="1" x14ac:dyDescent="0.25">
      <c r="C32" s="34"/>
      <c r="E32" s="68"/>
      <c r="K32" s="40" t="s">
        <v>349</v>
      </c>
      <c r="N32" s="57">
        <v>499093.75</v>
      </c>
      <c r="Q32" s="57">
        <v>0</v>
      </c>
      <c r="R32" s="57">
        <v>0</v>
      </c>
    </row>
    <row r="33" spans="3:18" s="40" customFormat="1" x14ac:dyDescent="0.25">
      <c r="C33" s="34"/>
      <c r="E33" s="68"/>
      <c r="G33" s="40">
        <f>25+90+500</f>
        <v>615</v>
      </c>
      <c r="K33" s="40" t="s">
        <v>350</v>
      </c>
      <c r="N33" s="57">
        <v>1011162.234375</v>
      </c>
      <c r="Q33" s="57">
        <v>0</v>
      </c>
      <c r="R33" s="57">
        <v>0</v>
      </c>
    </row>
    <row r="34" spans="3:18" s="40" customFormat="1" x14ac:dyDescent="0.25">
      <c r="C34" s="34"/>
      <c r="E34" s="68"/>
      <c r="N34" s="57"/>
    </row>
    <row r="35" spans="3:18" s="40" customFormat="1" ht="132" x14ac:dyDescent="0.25">
      <c r="C35" s="65" t="s">
        <v>1</v>
      </c>
      <c r="D35" s="22" t="s">
        <v>2</v>
      </c>
      <c r="E35" s="70"/>
      <c r="F35" s="22" t="s">
        <v>3</v>
      </c>
      <c r="G35" s="22" t="s">
        <v>7</v>
      </c>
      <c r="H35" s="23" t="s">
        <v>187</v>
      </c>
      <c r="I35" s="24" t="s">
        <v>246</v>
      </c>
      <c r="J35" s="25" t="s">
        <v>4</v>
      </c>
      <c r="K35" s="32" t="s">
        <v>240</v>
      </c>
      <c r="L35" s="26" t="s">
        <v>6</v>
      </c>
      <c r="M35" s="22" t="s">
        <v>5</v>
      </c>
      <c r="N35" s="32" t="s">
        <v>189</v>
      </c>
    </row>
    <row r="36" spans="3:18" s="40" customFormat="1" ht="33" x14ac:dyDescent="0.25">
      <c r="C36" s="34" t="s">
        <v>274</v>
      </c>
      <c r="D36" s="40" t="s">
        <v>275</v>
      </c>
      <c r="E36" s="68"/>
      <c r="G36" s="58">
        <v>1</v>
      </c>
      <c r="H36" s="59">
        <v>25</v>
      </c>
      <c r="I36" s="57">
        <v>3156.5656565656568</v>
      </c>
      <c r="J36" s="57">
        <v>78914.141414141413</v>
      </c>
      <c r="K36" s="40" t="s">
        <v>241</v>
      </c>
      <c r="N36" s="43" t="s">
        <v>247</v>
      </c>
      <c r="O36" s="40" t="s">
        <v>277</v>
      </c>
    </row>
    <row r="37" spans="3:18" s="40" customFormat="1" ht="33" x14ac:dyDescent="0.25">
      <c r="C37" s="34" t="s">
        <v>278</v>
      </c>
      <c r="D37" s="40" t="s">
        <v>279</v>
      </c>
      <c r="E37" s="68"/>
      <c r="G37" s="58">
        <v>1</v>
      </c>
      <c r="H37" s="59">
        <v>1</v>
      </c>
      <c r="I37" s="57">
        <v>50505.050505050509</v>
      </c>
      <c r="J37" s="57">
        <v>50505.050505050509</v>
      </c>
      <c r="K37" s="40" t="s">
        <v>241</v>
      </c>
      <c r="N37" s="43" t="s">
        <v>247</v>
      </c>
    </row>
    <row r="38" spans="3:18" s="40" customFormat="1" ht="33" x14ac:dyDescent="0.25">
      <c r="C38" s="34" t="s">
        <v>280</v>
      </c>
      <c r="D38" s="40" t="s">
        <v>281</v>
      </c>
      <c r="E38" s="68"/>
      <c r="G38" s="58">
        <v>1</v>
      </c>
      <c r="H38" s="59">
        <v>80</v>
      </c>
      <c r="I38" s="57">
        <v>1818.1818181818182</v>
      </c>
      <c r="J38" s="57">
        <v>145454.54545454544</v>
      </c>
      <c r="K38" s="40" t="s">
        <v>241</v>
      </c>
      <c r="N38" s="43" t="s">
        <v>247</v>
      </c>
      <c r="O38" s="40" t="s">
        <v>283</v>
      </c>
    </row>
    <row r="39" spans="3:18" s="40" customFormat="1" ht="33" x14ac:dyDescent="0.25">
      <c r="C39" s="34" t="s">
        <v>284</v>
      </c>
      <c r="D39" s="40" t="s">
        <v>285</v>
      </c>
      <c r="E39" s="68"/>
      <c r="G39" s="58">
        <v>1</v>
      </c>
      <c r="H39" s="59">
        <v>450000</v>
      </c>
      <c r="I39" s="57">
        <v>0.12626262626262627</v>
      </c>
      <c r="J39" s="57">
        <v>56818.181818181816</v>
      </c>
      <c r="K39" s="40" t="s">
        <v>241</v>
      </c>
      <c r="N39" s="43" t="s">
        <v>247</v>
      </c>
      <c r="O39" s="40" t="s">
        <v>287</v>
      </c>
    </row>
    <row r="40" spans="3:18" s="40" customFormat="1" ht="33" x14ac:dyDescent="0.25">
      <c r="C40" s="34" t="s">
        <v>288</v>
      </c>
      <c r="D40" s="40" t="s">
        <v>289</v>
      </c>
      <c r="E40" s="68"/>
      <c r="G40" s="58">
        <v>1</v>
      </c>
      <c r="H40" s="59">
        <v>192000</v>
      </c>
      <c r="I40" s="57">
        <v>1.5151515151515151</v>
      </c>
      <c r="J40" s="57">
        <v>290909.09090909088</v>
      </c>
      <c r="K40" s="40" t="s">
        <v>241</v>
      </c>
      <c r="N40" s="43" t="s">
        <v>247</v>
      </c>
      <c r="O40" s="40" t="s">
        <v>287</v>
      </c>
    </row>
    <row r="41" spans="3:18" s="40" customFormat="1" ht="33" x14ac:dyDescent="0.25">
      <c r="C41" s="34" t="s">
        <v>291</v>
      </c>
      <c r="D41" s="40" t="s">
        <v>292</v>
      </c>
      <c r="E41" s="68"/>
      <c r="G41" s="58">
        <v>1</v>
      </c>
      <c r="H41" s="59">
        <v>8</v>
      </c>
      <c r="I41" s="57">
        <v>555.55555555555554</v>
      </c>
      <c r="J41" s="57">
        <v>4444.4444444444443</v>
      </c>
      <c r="K41" s="40" t="s">
        <v>241</v>
      </c>
      <c r="N41" s="43" t="s">
        <v>247</v>
      </c>
      <c r="O41" s="40" t="s">
        <v>287</v>
      </c>
    </row>
    <row r="42" spans="3:18" s="40" customFormat="1" ht="33" x14ac:dyDescent="0.25">
      <c r="C42" s="34" t="s">
        <v>294</v>
      </c>
      <c r="D42" s="40" t="s">
        <v>295</v>
      </c>
      <c r="E42" s="68"/>
      <c r="G42" s="58">
        <v>1</v>
      </c>
      <c r="H42" s="59">
        <v>6</v>
      </c>
      <c r="I42" s="57">
        <v>7797.9797979797977</v>
      </c>
      <c r="J42" s="57">
        <v>46787.878787878792</v>
      </c>
      <c r="K42" s="40" t="s">
        <v>241</v>
      </c>
      <c r="N42" s="43" t="s">
        <v>247</v>
      </c>
      <c r="O42" s="40" t="s">
        <v>296</v>
      </c>
    </row>
    <row r="43" spans="3:18" s="40" customFormat="1" ht="33" x14ac:dyDescent="0.25">
      <c r="C43" s="34" t="s">
        <v>297</v>
      </c>
      <c r="D43" s="40" t="s">
        <v>295</v>
      </c>
      <c r="E43" s="68"/>
      <c r="G43" s="58">
        <v>1</v>
      </c>
      <c r="H43" s="59">
        <v>6</v>
      </c>
      <c r="I43" s="57">
        <v>1515.1515151515152</v>
      </c>
      <c r="J43" s="57">
        <v>9090.9090909090901</v>
      </c>
      <c r="K43" s="40" t="s">
        <v>241</v>
      </c>
      <c r="N43" s="43" t="s">
        <v>247</v>
      </c>
      <c r="O43" s="40" t="s">
        <v>296</v>
      </c>
    </row>
    <row r="44" spans="3:18" s="40" customFormat="1" ht="33" x14ac:dyDescent="0.25">
      <c r="C44" s="34" t="s">
        <v>299</v>
      </c>
      <c r="D44" s="40" t="s">
        <v>295</v>
      </c>
      <c r="E44" s="68"/>
      <c r="G44" s="58">
        <v>1</v>
      </c>
      <c r="H44" s="59">
        <v>3</v>
      </c>
      <c r="I44" s="57">
        <v>5123.6900252525256</v>
      </c>
      <c r="J44" s="57">
        <v>15371.070075757576</v>
      </c>
      <c r="K44" s="40" t="s">
        <v>241</v>
      </c>
      <c r="N44" s="43" t="s">
        <v>247</v>
      </c>
      <c r="O44" s="40" t="s">
        <v>301</v>
      </c>
    </row>
    <row r="45" spans="3:18" s="40" customFormat="1" ht="33" x14ac:dyDescent="0.25">
      <c r="C45" s="34" t="s">
        <v>302</v>
      </c>
      <c r="D45" s="40" t="s">
        <v>295</v>
      </c>
      <c r="E45" s="68"/>
      <c r="G45" s="58">
        <v>1</v>
      </c>
      <c r="H45" s="59">
        <v>3</v>
      </c>
      <c r="I45" s="57">
        <v>5123.6900252525256</v>
      </c>
      <c r="J45" s="57">
        <v>15371.070075757576</v>
      </c>
      <c r="K45" s="40" t="s">
        <v>241</v>
      </c>
      <c r="N45" s="43" t="s">
        <v>247</v>
      </c>
      <c r="O45" s="40" t="s">
        <v>301</v>
      </c>
    </row>
    <row r="46" spans="3:18" s="40" customFormat="1" ht="60" x14ac:dyDescent="0.25">
      <c r="C46" s="34" t="s">
        <v>304</v>
      </c>
      <c r="D46" s="40" t="s">
        <v>305</v>
      </c>
      <c r="E46" s="68"/>
      <c r="G46" s="58">
        <v>1</v>
      </c>
      <c r="H46" s="59">
        <v>15</v>
      </c>
      <c r="I46" s="57">
        <v>2020.2020202020203</v>
      </c>
      <c r="J46" s="57">
        <v>30303.030303030304</v>
      </c>
      <c r="K46" s="40" t="s">
        <v>241</v>
      </c>
      <c r="N46" s="43" t="s">
        <v>247</v>
      </c>
      <c r="O46" s="40" t="s">
        <v>301</v>
      </c>
    </row>
    <row r="47" spans="3:18" s="40" customFormat="1" ht="33" x14ac:dyDescent="0.25">
      <c r="C47" s="34" t="s">
        <v>307</v>
      </c>
      <c r="D47" s="40" t="s">
        <v>308</v>
      </c>
      <c r="E47" s="68"/>
      <c r="G47" s="58">
        <v>1</v>
      </c>
      <c r="H47" s="59">
        <v>15</v>
      </c>
      <c r="I47" s="57">
        <v>2323.2323232323233</v>
      </c>
      <c r="J47" s="57">
        <v>34848.484848484848</v>
      </c>
      <c r="K47" s="40" t="s">
        <v>241</v>
      </c>
      <c r="N47" s="43" t="s">
        <v>247</v>
      </c>
      <c r="O47" s="40" t="s">
        <v>310</v>
      </c>
    </row>
    <row r="48" spans="3:18" s="40" customFormat="1" ht="33" x14ac:dyDescent="0.25">
      <c r="C48" s="34" t="s">
        <v>311</v>
      </c>
      <c r="D48" s="40" t="s">
        <v>312</v>
      </c>
      <c r="E48" s="68"/>
      <c r="G48" s="58">
        <v>1</v>
      </c>
      <c r="H48" s="59">
        <v>48</v>
      </c>
      <c r="I48" s="57">
        <v>101.01010101010101</v>
      </c>
      <c r="J48" s="57">
        <v>4848.484848484849</v>
      </c>
      <c r="K48" s="40" t="s">
        <v>241</v>
      </c>
      <c r="N48" s="43" t="s">
        <v>247</v>
      </c>
      <c r="O48" s="40" t="s">
        <v>296</v>
      </c>
    </row>
    <row r="49" spans="3:15" s="40" customFormat="1" ht="33" x14ac:dyDescent="0.25">
      <c r="C49" s="34" t="s">
        <v>314</v>
      </c>
      <c r="D49" s="40" t="s">
        <v>312</v>
      </c>
      <c r="E49" s="68"/>
      <c r="G49" s="58">
        <v>1</v>
      </c>
      <c r="H49" s="59">
        <v>10</v>
      </c>
      <c r="I49" s="57">
        <v>5123.6900252525256</v>
      </c>
      <c r="J49" s="57">
        <v>51236.900252525251</v>
      </c>
      <c r="K49" s="40" t="s">
        <v>241</v>
      </c>
      <c r="N49" s="43" t="s">
        <v>247</v>
      </c>
      <c r="O49" s="40" t="s">
        <v>296</v>
      </c>
    </row>
    <row r="50" spans="3:15" s="40" customFormat="1" ht="33" x14ac:dyDescent="0.25">
      <c r="C50" s="34" t="s">
        <v>315</v>
      </c>
      <c r="D50" s="40" t="s">
        <v>308</v>
      </c>
      <c r="E50" s="68"/>
      <c r="G50" s="58">
        <v>1</v>
      </c>
      <c r="H50" s="59">
        <v>90</v>
      </c>
      <c r="I50" s="57">
        <v>536.61616161616166</v>
      </c>
      <c r="J50" s="57">
        <v>48295.454545454544</v>
      </c>
      <c r="K50" s="40" t="s">
        <v>241</v>
      </c>
      <c r="N50" s="43" t="s">
        <v>247</v>
      </c>
    </row>
    <row r="51" spans="3:15" s="40" customFormat="1" ht="33" x14ac:dyDescent="0.25">
      <c r="C51" s="34" t="s">
        <v>316</v>
      </c>
      <c r="D51" s="40" t="s">
        <v>317</v>
      </c>
      <c r="E51" s="68"/>
      <c r="G51" s="58">
        <v>1</v>
      </c>
      <c r="H51" s="59">
        <v>3</v>
      </c>
      <c r="I51" s="57">
        <v>5123.6900252525256</v>
      </c>
      <c r="J51" s="57">
        <v>15371.070075757576</v>
      </c>
      <c r="K51" s="40" t="s">
        <v>241</v>
      </c>
      <c r="N51" s="43" t="s">
        <v>247</v>
      </c>
      <c r="O51" s="40" t="s">
        <v>318</v>
      </c>
    </row>
    <row r="52" spans="3:15" s="40" customFormat="1" ht="30" x14ac:dyDescent="0.25">
      <c r="C52" s="66" t="s">
        <v>320</v>
      </c>
      <c r="D52" s="60" t="s">
        <v>321</v>
      </c>
      <c r="E52" s="68"/>
      <c r="F52" s="60"/>
      <c r="G52" s="58">
        <v>1</v>
      </c>
      <c r="H52" s="61">
        <v>46</v>
      </c>
      <c r="I52" s="62">
        <v>157.82828282828282</v>
      </c>
      <c r="J52" s="62">
        <v>7260.1010101010106</v>
      </c>
      <c r="K52" s="60" t="s">
        <v>241</v>
      </c>
      <c r="L52" s="60"/>
      <c r="M52" s="60"/>
      <c r="N52" s="63" t="s">
        <v>319</v>
      </c>
      <c r="O52" s="40" t="s">
        <v>301</v>
      </c>
    </row>
    <row r="53" spans="3:15" s="40" customFormat="1" ht="30" x14ac:dyDescent="0.25">
      <c r="C53" s="66" t="s">
        <v>323</v>
      </c>
      <c r="D53" s="60" t="s">
        <v>324</v>
      </c>
      <c r="E53" s="68"/>
      <c r="F53" s="60"/>
      <c r="G53" s="58">
        <v>1</v>
      </c>
      <c r="H53" s="61">
        <v>7</v>
      </c>
      <c r="I53" s="62">
        <v>11284.722222222223</v>
      </c>
      <c r="J53" s="62">
        <v>78993.055555555562</v>
      </c>
      <c r="K53" s="60" t="s">
        <v>241</v>
      </c>
      <c r="L53" s="60"/>
      <c r="M53" s="60"/>
      <c r="N53" s="63" t="s">
        <v>319</v>
      </c>
      <c r="O53" s="40" t="s">
        <v>301</v>
      </c>
    </row>
    <row r="54" spans="3:15" s="40" customFormat="1" x14ac:dyDescent="0.25">
      <c r="C54" s="66" t="s">
        <v>326</v>
      </c>
      <c r="D54" s="60" t="s">
        <v>327</v>
      </c>
      <c r="E54" s="68"/>
      <c r="F54" s="60"/>
      <c r="G54" s="58">
        <v>1</v>
      </c>
      <c r="H54" s="61">
        <v>276</v>
      </c>
      <c r="I54" s="62">
        <v>110.47979797979798</v>
      </c>
      <c r="J54" s="62">
        <v>30492.424242424244</v>
      </c>
      <c r="K54" s="60" t="s">
        <v>241</v>
      </c>
      <c r="L54" s="60"/>
      <c r="M54" s="60"/>
      <c r="N54" s="63" t="s">
        <v>319</v>
      </c>
      <c r="O54" s="40" t="s">
        <v>301</v>
      </c>
    </row>
    <row r="55" spans="3:15" s="40" customFormat="1" ht="30" x14ac:dyDescent="0.25">
      <c r="C55" s="66" t="s">
        <v>329</v>
      </c>
      <c r="D55" s="60" t="s">
        <v>330</v>
      </c>
      <c r="E55" s="68"/>
      <c r="F55" s="60"/>
      <c r="G55" s="58">
        <v>1</v>
      </c>
      <c r="H55" s="61">
        <v>3</v>
      </c>
      <c r="I55" s="62">
        <v>2020.2020202020203</v>
      </c>
      <c r="J55" s="62">
        <v>6060.606060606061</v>
      </c>
      <c r="K55" s="60" t="s">
        <v>241</v>
      </c>
      <c r="L55" s="60"/>
      <c r="M55" s="60"/>
      <c r="N55" s="63" t="s">
        <v>319</v>
      </c>
      <c r="O55" s="40" t="s">
        <v>301</v>
      </c>
    </row>
    <row r="56" spans="3:15" s="40" customFormat="1" ht="45" x14ac:dyDescent="0.25">
      <c r="C56" s="34" t="s">
        <v>333</v>
      </c>
      <c r="D56" s="40" t="s">
        <v>334</v>
      </c>
      <c r="E56" s="68"/>
      <c r="G56" s="58">
        <v>1</v>
      </c>
      <c r="H56" s="59">
        <v>25</v>
      </c>
      <c r="I56" s="57">
        <v>1104.7979797979799</v>
      </c>
      <c r="J56" s="57">
        <v>27619.949494949495</v>
      </c>
      <c r="K56" s="40" t="s">
        <v>241</v>
      </c>
      <c r="N56" s="43" t="s">
        <v>249</v>
      </c>
      <c r="O56" s="40" t="s">
        <v>277</v>
      </c>
    </row>
    <row r="57" spans="3:15" s="40" customFormat="1" x14ac:dyDescent="0.25">
      <c r="C57" s="34" t="s">
        <v>336</v>
      </c>
      <c r="D57" s="40" t="s">
        <v>334</v>
      </c>
      <c r="E57" s="68"/>
      <c r="G57" s="58">
        <v>1</v>
      </c>
      <c r="H57" s="59">
        <v>60</v>
      </c>
      <c r="I57" s="57">
        <v>1818.1818181818182</v>
      </c>
      <c r="J57" s="57">
        <v>109090.90909090909</v>
      </c>
      <c r="K57" s="40" t="s">
        <v>241</v>
      </c>
      <c r="N57" s="43" t="s">
        <v>249</v>
      </c>
      <c r="O57" s="40" t="s">
        <v>277</v>
      </c>
    </row>
    <row r="58" spans="3:15" s="40" customFormat="1" ht="30" x14ac:dyDescent="0.25">
      <c r="C58" s="34" t="s">
        <v>338</v>
      </c>
      <c r="D58" s="40" t="s">
        <v>334</v>
      </c>
      <c r="E58" s="68"/>
      <c r="G58" s="58">
        <v>1</v>
      </c>
      <c r="H58" s="59">
        <v>15</v>
      </c>
      <c r="I58" s="57">
        <v>3156.5656565656568</v>
      </c>
      <c r="J58" s="57">
        <v>47348.484848484848</v>
      </c>
      <c r="K58" s="40" t="s">
        <v>241</v>
      </c>
      <c r="N58" s="43" t="s">
        <v>249</v>
      </c>
      <c r="O58" s="40" t="s">
        <v>277</v>
      </c>
    </row>
    <row r="59" spans="3:15" s="40" customFormat="1" ht="30" x14ac:dyDescent="0.25">
      <c r="C59" s="34" t="s">
        <v>340</v>
      </c>
      <c r="D59" s="40" t="s">
        <v>341</v>
      </c>
      <c r="E59" s="68"/>
      <c r="G59" s="58">
        <v>1</v>
      </c>
      <c r="H59" s="59">
        <v>1</v>
      </c>
      <c r="I59" s="57">
        <v>75757.57575757576</v>
      </c>
      <c r="J59" s="57">
        <v>75757.57575757576</v>
      </c>
      <c r="K59" s="40" t="s">
        <v>241</v>
      </c>
      <c r="N59" s="43" t="s">
        <v>249</v>
      </c>
    </row>
    <row r="60" spans="3:15" s="40" customFormat="1" x14ac:dyDescent="0.25">
      <c r="C60" s="34" t="s">
        <v>342</v>
      </c>
      <c r="D60" s="40" t="s">
        <v>343</v>
      </c>
      <c r="E60" s="68"/>
      <c r="G60" s="58">
        <v>1</v>
      </c>
      <c r="H60" s="59">
        <v>3</v>
      </c>
      <c r="I60" s="57">
        <v>40404.040404040403</v>
      </c>
      <c r="J60" s="57">
        <v>121212.12121212122</v>
      </c>
      <c r="K60" s="40" t="s">
        <v>241</v>
      </c>
      <c r="N60" s="43" t="s">
        <v>249</v>
      </c>
    </row>
    <row r="61" spans="3:15" s="40" customFormat="1" x14ac:dyDescent="0.25">
      <c r="C61" s="34" t="s">
        <v>344</v>
      </c>
      <c r="D61" s="40" t="s">
        <v>345</v>
      </c>
      <c r="E61" s="68"/>
      <c r="G61" s="58">
        <v>1</v>
      </c>
      <c r="H61" s="59">
        <v>15</v>
      </c>
      <c r="I61" s="57">
        <v>3156.5656565656568</v>
      </c>
      <c r="J61" s="57">
        <v>47348.484848484848</v>
      </c>
      <c r="K61" s="40" t="s">
        <v>241</v>
      </c>
      <c r="N61" s="43" t="s">
        <v>249</v>
      </c>
    </row>
    <row r="62" spans="3:15" s="40" customFormat="1" x14ac:dyDescent="0.25">
      <c r="C62" s="34" t="s">
        <v>346</v>
      </c>
      <c r="D62" s="40" t="s">
        <v>347</v>
      </c>
      <c r="E62" s="68"/>
      <c r="G62" s="58">
        <v>1</v>
      </c>
      <c r="H62" s="59">
        <v>60</v>
      </c>
      <c r="I62" s="57">
        <v>1262.6262626262626</v>
      </c>
      <c r="J62" s="57">
        <v>75757.57575757576</v>
      </c>
      <c r="K62" s="40" t="s">
        <v>241</v>
      </c>
      <c r="N62" s="43" t="s">
        <v>249</v>
      </c>
    </row>
  </sheetData>
  <autoFilter ref="F2:F62" xr:uid="{F021588E-5DC7-48BB-B9CA-CA339C6F966A}"/>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xr:uid="{ADA2990D-98DF-4043-A31D-EB280BF8DB1C}">
          <x14:formula1>
            <xm:f>Sheet2!$A$2:$A$112</xm:f>
          </x14:formula1>
          <xm:sqref>E7:E8 E25:E30 E15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21B17-425A-4610-85F3-D8B3D201868D}">
  <dimension ref="B1:F1"/>
  <sheetViews>
    <sheetView zoomScale="160" zoomScaleNormal="160" workbookViewId="0">
      <selection activeCell="I9" sqref="I8:I9"/>
    </sheetView>
  </sheetViews>
  <sheetFormatPr defaultRowHeight="15" x14ac:dyDescent="0.25"/>
  <cols>
    <col min="2" max="6" width="8.7109375" style="33"/>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34FF4-BEB1-475F-9FC1-522BF28F94A6}">
  <dimension ref="A1:E11"/>
  <sheetViews>
    <sheetView zoomScale="140" zoomScaleNormal="140" workbookViewId="0">
      <selection activeCell="B4" sqref="B4"/>
    </sheetView>
  </sheetViews>
  <sheetFormatPr defaultColWidth="8.7109375" defaultRowHeight="15" x14ac:dyDescent="0.25"/>
  <cols>
    <col min="1" max="1" width="37.7109375" style="40" bestFit="1" customWidth="1"/>
    <col min="2" max="2" width="23.5703125" style="33" bestFit="1" customWidth="1"/>
    <col min="3" max="3" width="16.28515625" style="33" bestFit="1" customWidth="1"/>
    <col min="4" max="4" width="23.28515625" style="33" bestFit="1" customWidth="1"/>
    <col min="5" max="5" width="16.140625" style="33" bestFit="1" customWidth="1"/>
    <col min="6" max="16384" width="8.7109375" style="40"/>
  </cols>
  <sheetData>
    <row r="1" spans="1:5" x14ac:dyDescent="0.25">
      <c r="A1"/>
      <c r="B1" s="126"/>
    </row>
    <row r="3" spans="1:5" ht="30" x14ac:dyDescent="0.25">
      <c r="A3" s="75" t="s">
        <v>257</v>
      </c>
      <c r="B3" s="40" t="s">
        <v>455</v>
      </c>
      <c r="C3" s="40" t="s">
        <v>456</v>
      </c>
      <c r="D3" s="40" t="s">
        <v>457</v>
      </c>
      <c r="E3" s="35" t="s">
        <v>458</v>
      </c>
    </row>
    <row r="4" spans="1:5" x14ac:dyDescent="0.25">
      <c r="A4" s="38" t="s">
        <v>397</v>
      </c>
      <c r="B4" s="39">
        <v>2905874.0085254172</v>
      </c>
      <c r="C4" s="39">
        <v>282631.36082971643</v>
      </c>
      <c r="D4" s="39">
        <v>147158.20275497317</v>
      </c>
      <c r="E4" s="39">
        <v>3335663.5721101076</v>
      </c>
    </row>
    <row r="5" spans="1:5" x14ac:dyDescent="0.25">
      <c r="A5" s="38" t="s">
        <v>398</v>
      </c>
      <c r="B5" s="39">
        <v>1555099.4632143984</v>
      </c>
      <c r="C5" s="39">
        <v>56112.514472160838</v>
      </c>
      <c r="D5" s="39">
        <v>27628.670666245656</v>
      </c>
      <c r="E5" s="39">
        <v>1638840.6483528048</v>
      </c>
    </row>
    <row r="6" spans="1:5" x14ac:dyDescent="0.25">
      <c r="A6" s="38" t="s">
        <v>235</v>
      </c>
      <c r="B6" s="39">
        <v>4460973.4717398155</v>
      </c>
      <c r="C6" s="39">
        <v>338743.87530187727</v>
      </c>
      <c r="D6" s="39">
        <v>174786.87342121883</v>
      </c>
      <c r="E6" s="39">
        <v>4974504.2204629127</v>
      </c>
    </row>
    <row r="7" spans="1:5" x14ac:dyDescent="0.25">
      <c r="A7"/>
      <c r="B7"/>
      <c r="C7"/>
      <c r="D7"/>
      <c r="E7"/>
    </row>
    <row r="8" spans="1:5" x14ac:dyDescent="0.25">
      <c r="A8"/>
      <c r="B8"/>
      <c r="C8"/>
      <c r="D8"/>
      <c r="E8"/>
    </row>
    <row r="9" spans="1:5" x14ac:dyDescent="0.25">
      <c r="A9"/>
      <c r="B9" s="126"/>
      <c r="C9" s="126"/>
      <c r="D9" s="126"/>
      <c r="E9" s="126"/>
    </row>
    <row r="10" spans="1:5" x14ac:dyDescent="0.25">
      <c r="A10"/>
      <c r="B10" s="126"/>
      <c r="C10" s="126"/>
      <c r="D10" s="126"/>
      <c r="E10" s="126"/>
    </row>
    <row r="11" spans="1:5" x14ac:dyDescent="0.25">
      <c r="A11"/>
      <c r="B11" s="126"/>
      <c r="C11" s="126"/>
      <c r="D11" s="126"/>
      <c r="E11" s="1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88A8E-6E7B-4230-A104-5B77D6CD8B35}">
  <sheetPr>
    <tabColor rgb="FF00B050"/>
  </sheetPr>
  <dimension ref="A1:G46"/>
  <sheetViews>
    <sheetView showGridLines="0" topLeftCell="A27" zoomScale="175" zoomScaleNormal="175" workbookViewId="0">
      <selection activeCell="C56" sqref="C56"/>
    </sheetView>
  </sheetViews>
  <sheetFormatPr defaultColWidth="8.7109375" defaultRowHeight="16.5" x14ac:dyDescent="0.3"/>
  <cols>
    <col min="1" max="1" width="29" style="54" bestFit="1" customWidth="1"/>
    <col min="2" max="2" width="13.28515625" style="149" customWidth="1"/>
    <col min="3" max="3" width="12.85546875" style="149" customWidth="1"/>
    <col min="4" max="4" width="12.7109375" style="149" customWidth="1"/>
    <col min="5" max="5" width="13.85546875" style="64" customWidth="1"/>
    <col min="6" max="6" width="16.28515625" style="154" bestFit="1" customWidth="1"/>
    <col min="7" max="7" width="14.85546875" style="154" bestFit="1" customWidth="1"/>
    <col min="8" max="16384" width="8.7109375" style="150"/>
  </cols>
  <sheetData>
    <row r="1" spans="1:7" x14ac:dyDescent="0.3">
      <c r="A1" s="148" t="s">
        <v>240</v>
      </c>
      <c r="B1" s="149" t="s">
        <v>241</v>
      </c>
    </row>
    <row r="3" spans="1:7" ht="49.5" x14ac:dyDescent="0.3">
      <c r="A3" s="148" t="s">
        <v>234</v>
      </c>
      <c r="B3" s="149" t="s">
        <v>474</v>
      </c>
      <c r="C3" s="149" t="s">
        <v>475</v>
      </c>
      <c r="D3" s="149" t="s">
        <v>476</v>
      </c>
      <c r="E3" s="54" t="s">
        <v>471</v>
      </c>
      <c r="F3" s="54" t="s">
        <v>472</v>
      </c>
      <c r="G3" s="64" t="s">
        <v>473</v>
      </c>
    </row>
    <row r="4" spans="1:7" x14ac:dyDescent="0.3">
      <c r="A4" s="151" t="s">
        <v>252</v>
      </c>
      <c r="B4" s="152">
        <v>51310.388380170509</v>
      </c>
      <c r="C4" s="152">
        <v>0</v>
      </c>
      <c r="D4" s="152">
        <v>262943.83485948842</v>
      </c>
      <c r="E4" s="156">
        <v>34846.114882643946</v>
      </c>
      <c r="F4" s="156">
        <v>27205.024471108303</v>
      </c>
      <c r="G4" s="156">
        <v>376305.36259341124</v>
      </c>
    </row>
    <row r="5" spans="1:7" x14ac:dyDescent="0.3">
      <c r="A5" s="151" t="s">
        <v>371</v>
      </c>
      <c r="B5" s="152">
        <v>0</v>
      </c>
      <c r="C5" s="152">
        <v>1001539.3116514051</v>
      </c>
      <c r="D5" s="152">
        <v>165719.6183296495</v>
      </c>
      <c r="E5" s="156">
        <v>103851.57927455005</v>
      </c>
      <c r="F5" s="156">
        <v>46374.076906378279</v>
      </c>
      <c r="G5" s="156">
        <v>1317484.5861619827</v>
      </c>
    </row>
    <row r="6" spans="1:7" x14ac:dyDescent="0.3">
      <c r="A6" s="151" t="s">
        <v>439</v>
      </c>
      <c r="B6" s="152">
        <v>951215.66150931478</v>
      </c>
      <c r="C6" s="152">
        <v>0</v>
      </c>
      <c r="D6" s="152">
        <v>552573.41332491313</v>
      </c>
      <c r="E6" s="156">
        <v>47560.783075465733</v>
      </c>
      <c r="F6" s="156">
        <v>27628.670666245656</v>
      </c>
      <c r="G6" s="156">
        <v>1578978.5285759391</v>
      </c>
    </row>
    <row r="7" spans="1:7" x14ac:dyDescent="0.3">
      <c r="A7" s="151" t="s">
        <v>440</v>
      </c>
      <c r="B7" s="152">
        <v>0</v>
      </c>
      <c r="C7" s="152">
        <v>0</v>
      </c>
      <c r="D7" s="152">
        <v>22734.239422166091</v>
      </c>
      <c r="E7" s="156">
        <v>11169.717654359294</v>
      </c>
      <c r="F7" s="156"/>
      <c r="G7" s="156">
        <v>33903.957076525381</v>
      </c>
    </row>
    <row r="8" spans="1:7" x14ac:dyDescent="0.3">
      <c r="A8" s="151" t="s">
        <v>235</v>
      </c>
      <c r="B8" s="152">
        <v>1002526.0498894854</v>
      </c>
      <c r="C8" s="152">
        <v>1001539.3116514051</v>
      </c>
      <c r="D8" s="152">
        <v>1003971.1059362172</v>
      </c>
      <c r="E8" s="156">
        <v>197428.19488701902</v>
      </c>
      <c r="F8" s="156">
        <v>101207.77204373224</v>
      </c>
      <c r="G8" s="156">
        <v>3306672.4344078582</v>
      </c>
    </row>
    <row r="14" spans="1:7" x14ac:dyDescent="0.3">
      <c r="A14" s="148" t="s">
        <v>240</v>
      </c>
      <c r="B14" s="149" t="s">
        <v>241</v>
      </c>
    </row>
    <row r="16" spans="1:7" ht="49.5" x14ac:dyDescent="0.3">
      <c r="A16" s="148" t="s">
        <v>234</v>
      </c>
      <c r="B16" s="149" t="s">
        <v>470</v>
      </c>
      <c r="C16" s="149" t="s">
        <v>471</v>
      </c>
      <c r="D16" s="149" t="s">
        <v>472</v>
      </c>
      <c r="E16" s="64" t="s">
        <v>473</v>
      </c>
    </row>
    <row r="17" spans="1:5" x14ac:dyDescent="0.3">
      <c r="A17" s="151" t="s">
        <v>252</v>
      </c>
      <c r="B17" s="152">
        <v>314254.22323965898</v>
      </c>
      <c r="C17" s="152">
        <v>34846.114882643946</v>
      </c>
      <c r="D17" s="152">
        <v>27205.024471108303</v>
      </c>
      <c r="E17" s="156">
        <v>376305.36259341124</v>
      </c>
    </row>
    <row r="18" spans="1:5" x14ac:dyDescent="0.3">
      <c r="A18" s="151" t="s">
        <v>371</v>
      </c>
      <c r="B18" s="152">
        <v>1167258.9299810545</v>
      </c>
      <c r="C18" s="152">
        <v>103851.57927455005</v>
      </c>
      <c r="D18" s="152">
        <v>46374.076906378279</v>
      </c>
      <c r="E18" s="156">
        <v>1317484.5861619827</v>
      </c>
    </row>
    <row r="19" spans="1:5" x14ac:dyDescent="0.3">
      <c r="A19" s="151" t="s">
        <v>439</v>
      </c>
      <c r="B19" s="152">
        <v>1503789.074834228</v>
      </c>
      <c r="C19" s="152">
        <v>47560.783075465733</v>
      </c>
      <c r="D19" s="152">
        <v>27628.670666245656</v>
      </c>
      <c r="E19" s="156">
        <v>1578978.5285759391</v>
      </c>
    </row>
    <row r="20" spans="1:5" x14ac:dyDescent="0.3">
      <c r="A20" s="151" t="s">
        <v>440</v>
      </c>
      <c r="B20" s="152">
        <v>22734.239422166091</v>
      </c>
      <c r="C20" s="152">
        <v>11169.717654359294</v>
      </c>
      <c r="D20" s="152"/>
      <c r="E20" s="156">
        <v>33903.957076525381</v>
      </c>
    </row>
    <row r="21" spans="1:5" x14ac:dyDescent="0.3">
      <c r="A21" s="151" t="s">
        <v>235</v>
      </c>
      <c r="B21" s="152">
        <v>3008036.4674771079</v>
      </c>
      <c r="C21" s="152">
        <v>197428.19488701902</v>
      </c>
      <c r="D21" s="152">
        <v>101207.77204373224</v>
      </c>
      <c r="E21" s="156">
        <v>3306672.4344078582</v>
      </c>
    </row>
    <row r="28" spans="1:5" x14ac:dyDescent="0.3">
      <c r="A28" s="148" t="s">
        <v>240</v>
      </c>
      <c r="B28" s="149" t="s">
        <v>241</v>
      </c>
    </row>
    <row r="30" spans="1:5" ht="33" x14ac:dyDescent="0.3">
      <c r="A30" s="148" t="s">
        <v>234</v>
      </c>
      <c r="B30" s="149" t="s">
        <v>470</v>
      </c>
      <c r="C30" s="149" t="s">
        <v>477</v>
      </c>
      <c r="D30" s="149" t="s">
        <v>472</v>
      </c>
      <c r="E30" s="64" t="s">
        <v>271</v>
      </c>
    </row>
    <row r="31" spans="1:5" x14ac:dyDescent="0.3">
      <c r="A31" s="151" t="s">
        <v>397</v>
      </c>
      <c r="B31" s="152">
        <v>1452937.0042627091</v>
      </c>
      <c r="C31" s="152">
        <v>141315.68041485819</v>
      </c>
      <c r="D31" s="152">
        <v>73579.101377486586</v>
      </c>
      <c r="E31" s="156">
        <v>1667831.786055054</v>
      </c>
    </row>
    <row r="32" spans="1:5" x14ac:dyDescent="0.3">
      <c r="A32" s="151" t="s">
        <v>398</v>
      </c>
      <c r="B32" s="152">
        <v>1555099.4632143984</v>
      </c>
      <c r="C32" s="152">
        <v>56112.514472160838</v>
      </c>
      <c r="D32" s="152">
        <v>27628.670666245656</v>
      </c>
      <c r="E32" s="156">
        <v>1638840.6483528048</v>
      </c>
    </row>
    <row r="33" spans="1:7" x14ac:dyDescent="0.3">
      <c r="A33" s="151" t="s">
        <v>235</v>
      </c>
      <c r="B33" s="152">
        <v>3008036.4674771074</v>
      </c>
      <c r="C33" s="152">
        <v>197428.19488701902</v>
      </c>
      <c r="D33" s="152">
        <v>101207.77204373224</v>
      </c>
      <c r="E33" s="156">
        <v>3306672.4344078591</v>
      </c>
    </row>
    <row r="34" spans="1:7" x14ac:dyDescent="0.3">
      <c r="A34" s="150"/>
      <c r="B34" s="157"/>
      <c r="C34" s="157"/>
      <c r="D34" s="157"/>
      <c r="E34" s="155"/>
    </row>
    <row r="35" spans="1:7" x14ac:dyDescent="0.3">
      <c r="A35" s="150"/>
      <c r="B35" s="157"/>
      <c r="C35" s="157"/>
      <c r="D35" s="157"/>
      <c r="E35" s="155"/>
    </row>
    <row r="36" spans="1:7" x14ac:dyDescent="0.3">
      <c r="A36" s="150"/>
      <c r="B36" s="157"/>
      <c r="C36" s="157"/>
      <c r="D36" s="157"/>
      <c r="E36" s="155"/>
    </row>
    <row r="38" spans="1:7" x14ac:dyDescent="0.3">
      <c r="A38" s="148" t="s">
        <v>240</v>
      </c>
      <c r="B38" s="149" t="s">
        <v>241</v>
      </c>
    </row>
    <row r="40" spans="1:7" ht="33" x14ac:dyDescent="0.3">
      <c r="A40" s="148" t="s">
        <v>234</v>
      </c>
      <c r="B40" s="149" t="s">
        <v>474</v>
      </c>
      <c r="C40" s="149" t="s">
        <v>478</v>
      </c>
      <c r="D40" s="149" t="s">
        <v>479</v>
      </c>
      <c r="E40" s="149" t="s">
        <v>472</v>
      </c>
      <c r="F40" s="153" t="s">
        <v>471</v>
      </c>
      <c r="G40" s="149" t="s">
        <v>271</v>
      </c>
    </row>
    <row r="41" spans="1:7" x14ac:dyDescent="0.3">
      <c r="A41" s="151" t="s">
        <v>397</v>
      </c>
      <c r="B41" s="152">
        <v>0</v>
      </c>
      <c r="C41" s="152">
        <v>1001539.3116514051</v>
      </c>
      <c r="D41" s="152">
        <v>451397.692611304</v>
      </c>
      <c r="E41" s="152">
        <v>73579.101377486586</v>
      </c>
      <c r="F41" s="152">
        <v>141315.68041485819</v>
      </c>
      <c r="G41" s="152">
        <v>1667831.786055054</v>
      </c>
    </row>
    <row r="42" spans="1:7" x14ac:dyDescent="0.3">
      <c r="A42" s="151" t="s">
        <v>398</v>
      </c>
      <c r="B42" s="152">
        <v>1002526.0498894852</v>
      </c>
      <c r="C42" s="152">
        <v>0</v>
      </c>
      <c r="D42" s="152">
        <v>552573.41332491313</v>
      </c>
      <c r="E42" s="152">
        <v>27628.670666245656</v>
      </c>
      <c r="F42" s="152">
        <v>56112.514472160838</v>
      </c>
      <c r="G42" s="152">
        <v>1638840.6483528048</v>
      </c>
    </row>
    <row r="43" spans="1:7" x14ac:dyDescent="0.3">
      <c r="A43" s="151" t="s">
        <v>235</v>
      </c>
      <c r="B43" s="152">
        <v>1002526.0498894852</v>
      </c>
      <c r="C43" s="152">
        <v>1001539.3116514051</v>
      </c>
      <c r="D43" s="152">
        <v>1003971.1059362171</v>
      </c>
      <c r="E43" s="152">
        <v>101207.77204373224</v>
      </c>
      <c r="F43" s="152">
        <v>197428.19488701902</v>
      </c>
      <c r="G43" s="152">
        <v>3306672.4344078591</v>
      </c>
    </row>
    <row r="44" spans="1:7" x14ac:dyDescent="0.3">
      <c r="A44" s="150"/>
      <c r="B44" s="157"/>
      <c r="C44" s="157"/>
      <c r="D44" s="157"/>
      <c r="E44" s="155"/>
    </row>
    <row r="45" spans="1:7" x14ac:dyDescent="0.3">
      <c r="A45" s="150"/>
      <c r="B45" s="157"/>
      <c r="C45" s="157"/>
      <c r="D45" s="157"/>
      <c r="E45" s="155"/>
    </row>
    <row r="46" spans="1:7" x14ac:dyDescent="0.3">
      <c r="A46" s="150"/>
      <c r="B46" s="157"/>
      <c r="C46" s="157"/>
      <c r="D46" s="157"/>
      <c r="E46" s="155"/>
    </row>
  </sheetData>
  <pageMargins left="0.7" right="0.7" top="0.75" bottom="0.75" header="0.3" footer="0.3"/>
  <pageSetup orientation="portrait" horizontalDpi="1200" verticalDpi="1200"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61705-4BEE-493C-BEC1-1C8CC1ABECF7}">
  <sheetPr>
    <tabColor rgb="FFFF0000"/>
  </sheetPr>
  <dimension ref="A1:BC67"/>
  <sheetViews>
    <sheetView showGridLines="0" tabSelected="1" topLeftCell="C41" zoomScale="130" zoomScaleNormal="130" workbookViewId="0">
      <selection activeCell="F52" sqref="F52"/>
    </sheetView>
  </sheetViews>
  <sheetFormatPr defaultColWidth="7" defaultRowHeight="12.6" customHeight="1" x14ac:dyDescent="0.25"/>
  <cols>
    <col min="1" max="1" width="7.85546875" style="76" bestFit="1" customWidth="1"/>
    <col min="2" max="2" width="81.5703125" style="78" bestFit="1" customWidth="1"/>
    <col min="3" max="3" width="37.85546875" style="78" bestFit="1" customWidth="1"/>
    <col min="4" max="4" width="51.7109375" style="76" bestFit="1" customWidth="1"/>
    <col min="5" max="5" width="10.42578125" style="76" bestFit="1" customWidth="1"/>
    <col min="6" max="6" width="13.42578125" style="76" customWidth="1"/>
    <col min="7" max="7" width="13.28515625" style="79" bestFit="1" customWidth="1"/>
    <col min="8" max="8" width="14" style="80" bestFit="1" customWidth="1"/>
    <col min="9" max="9" width="13.85546875" style="80" customWidth="1"/>
    <col min="10" max="10" width="25" style="80" bestFit="1" customWidth="1"/>
    <col min="11" max="11" width="17.28515625" style="80" bestFit="1" customWidth="1"/>
    <col min="12" max="12" width="11.140625" style="80" bestFit="1" customWidth="1"/>
    <col min="13" max="13" width="16.28515625" style="80" bestFit="1" customWidth="1"/>
    <col min="14" max="14" width="13.28515625" style="81" bestFit="1" customWidth="1"/>
    <col min="15" max="15" width="29.85546875" style="76" bestFit="1" customWidth="1"/>
    <col min="16" max="16" width="15.140625" style="76" bestFit="1" customWidth="1"/>
    <col min="17" max="17" width="43.28515625" style="76" bestFit="1" customWidth="1"/>
    <col min="18" max="18" width="29.7109375" style="76" bestFit="1" customWidth="1"/>
    <col min="19" max="19" width="12.28515625" style="82" bestFit="1" customWidth="1"/>
    <col min="20" max="20" width="19.5703125" style="82" bestFit="1" customWidth="1"/>
    <col min="21" max="21" width="20" style="82" bestFit="1" customWidth="1"/>
    <col min="22" max="22" width="10.85546875" style="124" hidden="1" customWidth="1"/>
    <col min="23" max="23" width="11.42578125" style="124" hidden="1" customWidth="1"/>
    <col min="24" max="24" width="11.7109375" style="124" hidden="1" customWidth="1"/>
    <col min="25" max="25" width="13.7109375" style="83" bestFit="1" customWidth="1"/>
    <col min="26" max="26" width="17.5703125" style="83" bestFit="1" customWidth="1"/>
    <col min="27" max="27" width="17.28515625" style="83" bestFit="1" customWidth="1"/>
    <col min="28" max="28" width="15.85546875" style="84" bestFit="1" customWidth="1"/>
    <col min="29" max="30" width="14.85546875" style="84" bestFit="1" customWidth="1"/>
    <col min="31" max="34" width="9.7109375" style="85" bestFit="1" customWidth="1"/>
    <col min="35" max="35" width="10" style="85" bestFit="1" customWidth="1"/>
    <col min="36" max="36" width="9.7109375" style="85" bestFit="1" customWidth="1"/>
    <col min="37" max="37" width="9.28515625" style="85" bestFit="1" customWidth="1"/>
    <col min="38" max="38" width="10" style="85" bestFit="1" customWidth="1"/>
    <col min="39" max="39" width="9.28515625" style="108" bestFit="1" customWidth="1"/>
    <col min="40" max="40" width="9.140625" style="108" bestFit="1" customWidth="1"/>
    <col min="41" max="41" width="9.5703125" style="108" bestFit="1" customWidth="1"/>
    <col min="42" max="42" width="9.28515625" style="108" bestFit="1" customWidth="1"/>
    <col min="43" max="43" width="9" style="108" bestFit="1" customWidth="1"/>
    <col min="44" max="47" width="9.7109375" style="108" bestFit="1" customWidth="1"/>
    <col min="48" max="48" width="10" style="108" bestFit="1" customWidth="1"/>
    <col min="49" max="49" width="9.7109375" style="108" bestFit="1" customWidth="1"/>
    <col min="50" max="50" width="9.28515625" style="108" bestFit="1" customWidth="1"/>
    <col min="51" max="51" width="10" style="108" bestFit="1" customWidth="1"/>
    <col min="52" max="52" width="9.7109375" style="108" bestFit="1" customWidth="1"/>
    <col min="53" max="53" width="9.5703125" style="108" bestFit="1" customWidth="1"/>
    <col min="54" max="54" width="9.85546875" style="108" bestFit="1" customWidth="1"/>
    <col min="55" max="55" width="9.7109375" style="108" bestFit="1" customWidth="1"/>
    <col min="56" max="16384" width="7" style="85"/>
  </cols>
  <sheetData>
    <row r="1" spans="1:55" ht="19.149999999999999" customHeight="1" x14ac:dyDescent="0.25">
      <c r="A1" s="218" t="s">
        <v>451</v>
      </c>
      <c r="B1" s="216" t="s">
        <v>452</v>
      </c>
      <c r="E1" s="224" t="str">
        <f>+Table3[[#Headers],[Units]]</f>
        <v>Units</v>
      </c>
      <c r="F1" s="224" t="str">
        <f>+Table3[[#Headers],[Freq.]]</f>
        <v>Freq.</v>
      </c>
      <c r="G1" s="224" t="str">
        <f>+Table3[[#Headers],[Quantity]]</f>
        <v>Quantity</v>
      </c>
      <c r="H1" s="226" t="str">
        <f>+Table3[[#Headers],[Unit Price (MZN)]]</f>
        <v>Unit Price (MZN)</v>
      </c>
      <c r="J1" s="226" t="str">
        <f>+Table3[[#Headers],[TOTAL PROJECT COST (US$)]]</f>
        <v>TOTAL PROJECT COST (US$)</v>
      </c>
      <c r="K1" s="226" t="str">
        <f>+Table3[[#Headers],[CRI Financing (US$)]]</f>
        <v>CRI Financing (US$)</v>
      </c>
      <c r="L1" s="226" t="str">
        <f>+Table3[[#Headers],[GoM (US$)]]</f>
        <v>GoM (US$)</v>
      </c>
      <c r="M1" s="226" t="str">
        <f>+Table3[[#Headers],[Beneficiaries (US$)]]</f>
        <v>Beneficiaries (US$)</v>
      </c>
      <c r="AE1" s="222" t="s">
        <v>432</v>
      </c>
      <c r="AF1" s="222"/>
      <c r="AG1" s="222"/>
      <c r="AH1" s="222"/>
      <c r="AI1" s="222"/>
      <c r="AJ1" s="222"/>
      <c r="AK1" s="222"/>
      <c r="AL1" s="222"/>
      <c r="AM1" s="222"/>
      <c r="AN1" s="222"/>
      <c r="AO1" s="222"/>
      <c r="AP1" s="222"/>
      <c r="AQ1" s="86"/>
      <c r="AR1" s="223" t="s">
        <v>433</v>
      </c>
      <c r="AS1" s="223"/>
      <c r="AT1" s="223"/>
      <c r="AU1" s="223"/>
      <c r="AV1" s="223"/>
      <c r="AW1" s="223"/>
      <c r="AX1" s="223"/>
      <c r="AY1" s="223"/>
      <c r="AZ1" s="223"/>
      <c r="BA1" s="223"/>
      <c r="BB1" s="223"/>
      <c r="BC1" s="223"/>
    </row>
    <row r="2" spans="1:55" ht="50.65" customHeight="1" x14ac:dyDescent="0.25">
      <c r="A2" s="219"/>
      <c r="B2" s="217"/>
      <c r="C2" s="122"/>
      <c r="D2" s="121"/>
      <c r="E2" s="225"/>
      <c r="F2" s="225"/>
      <c r="G2" s="225"/>
      <c r="H2" s="227"/>
      <c r="I2" s="123" t="str">
        <f>+Table3[[#Headers],[Cost]]</f>
        <v>Cost</v>
      </c>
      <c r="J2" s="227"/>
      <c r="K2" s="227"/>
      <c r="L2" s="227"/>
      <c r="M2" s="227"/>
      <c r="N2" s="115" t="str">
        <f>+Table3[[#Headers],[Priority]]</f>
        <v>Priority</v>
      </c>
      <c r="O2" s="115" t="str">
        <f>+Table3[[#Headers],[Geographical Distribution, ex. Mapai (22), Mabalane (16)]]</f>
        <v>Geographical Distribution, ex. Mapai (22), Mabalane (16)</v>
      </c>
      <c r="P2" s="115" t="str">
        <f>+Table3[[#Headers],[Comments]]</f>
        <v>Comments</v>
      </c>
      <c r="Q2" s="115" t="str">
        <f>+Table3[[#Headers],[Component]]</f>
        <v>Component</v>
      </c>
      <c r="R2" s="115" t="str">
        <f>+Table3[[#Headers],[Category]]</f>
        <v>Category</v>
      </c>
      <c r="S2" s="115" t="str">
        <f>+Table3[[#Headers],[CRI (%)]]</f>
        <v>CRI (%)</v>
      </c>
      <c r="T2" s="115" t="str">
        <f>+Table3[[#Headers],[Government (%)]]</f>
        <v>Government (%)</v>
      </c>
      <c r="U2" s="115" t="str">
        <f>+Table3[[#Headers],[Beneficiaries (%)]]</f>
        <v>Beneficiaries (%)</v>
      </c>
      <c r="V2" s="123" t="str">
        <f>+Table3[[#Headers],[CRI (MZN)]]</f>
        <v>CRI (MZN)</v>
      </c>
      <c r="W2" s="123" t="str">
        <f>+Table3[[#Headers],[Government (MZN)]]</f>
        <v>Government (MZN)</v>
      </c>
      <c r="X2" s="123" t="str">
        <f>+Table3[[#Headers],[Beneficiaries (MZN)]]</f>
        <v>Beneficiaries (MZN)</v>
      </c>
      <c r="Y2" s="115" t="str">
        <f>+Table3[[#Headers],[REFP (%)]]</f>
        <v>REFP (%)</v>
      </c>
      <c r="Z2" s="115" t="str">
        <f>+Table3[[#Headers],[PROCAVA (%)]]</f>
        <v>PROCAVA (%)</v>
      </c>
      <c r="AA2" s="115" t="str">
        <f>+Table3[[#Headers],[PRODAPE (%)]]</f>
        <v>PRODAPE (%)</v>
      </c>
      <c r="AB2" s="115" t="str">
        <f>+Table3[[#Headers],[REFP (US$)]]</f>
        <v>REFP (US$)</v>
      </c>
      <c r="AC2" s="115" t="str">
        <f>+Table3[[#Headers],[PROCAVA  (US$)]]</f>
        <v>PROCAVA  (US$)</v>
      </c>
      <c r="AD2" s="115" t="str">
        <f>+Table3[[#Headers],[PRODAPE  (US$)]]</f>
        <v>PRODAPE  (US$)</v>
      </c>
      <c r="AE2" s="115" t="str">
        <f>+Table3[[#Headers],[Jan]]</f>
        <v>Jan</v>
      </c>
      <c r="AF2" s="115" t="str">
        <f>+Table3[[#Headers],[Feb]]</f>
        <v>Feb</v>
      </c>
      <c r="AG2" s="115" t="str">
        <f>+Table3[[#Headers],[Mar]]</f>
        <v>Mar</v>
      </c>
      <c r="AH2" s="115" t="str">
        <f>+Table3[[#Headers],[Apr]]</f>
        <v>Apr</v>
      </c>
      <c r="AI2" s="115" t="str">
        <f>+Table3[[#Headers],[May]]</f>
        <v>May</v>
      </c>
      <c r="AJ2" s="115" t="str">
        <f>+Table3[[#Headers],[Jun]]</f>
        <v>Jun</v>
      </c>
      <c r="AK2" s="115" t="str">
        <f>+Table3[[#Headers],[Jul]]</f>
        <v>Jul</v>
      </c>
      <c r="AL2" s="115" t="str">
        <f>+Table3[[#Headers],[Ago]]</f>
        <v>Ago</v>
      </c>
      <c r="AM2" s="115" t="str">
        <f>+Table3[[#Headers],[Sep]]</f>
        <v>Sep</v>
      </c>
      <c r="AN2" s="115" t="str">
        <f>+Table3[[#Headers],[Oct]]</f>
        <v>Oct</v>
      </c>
      <c r="AO2" s="115" t="str">
        <f>+Table3[[#Headers],[Nov]]</f>
        <v>Nov</v>
      </c>
      <c r="AP2" s="115" t="str">
        <f>+Table3[[#Headers],[Dec]]</f>
        <v>Dec</v>
      </c>
      <c r="AQ2" s="115"/>
      <c r="AR2" s="115" t="str">
        <f>+Table3[[#Headers],[ Jan]]</f>
        <v xml:space="preserve"> Jan</v>
      </c>
      <c r="AS2" s="115" t="str">
        <f>+Table3[[#Headers],[ Feb]]</f>
        <v xml:space="preserve"> Feb</v>
      </c>
      <c r="AT2" s="115" t="str">
        <f>+Table3[[#Headers],[ Mar]]</f>
        <v xml:space="preserve"> Mar</v>
      </c>
      <c r="AU2" s="115" t="str">
        <f>+Table3[[#Headers],[ Apr]]</f>
        <v xml:space="preserve"> Apr</v>
      </c>
      <c r="AV2" s="115" t="str">
        <f>+Table3[[#Headers],[ May]]</f>
        <v xml:space="preserve"> May</v>
      </c>
      <c r="AW2" s="115" t="str">
        <f>+Table3[[#Headers],[ Jun]]</f>
        <v xml:space="preserve"> Jun</v>
      </c>
      <c r="AX2" s="115" t="str">
        <f>+Table3[[#Headers],[ Jul]]</f>
        <v xml:space="preserve"> Jul</v>
      </c>
      <c r="AY2" s="115" t="str">
        <f>+Table3[[#Headers],[ Ago]]</f>
        <v xml:space="preserve"> Ago</v>
      </c>
      <c r="AZ2" s="92" t="str">
        <f>+Table3[[#Headers],[ Sep]]</f>
        <v xml:space="preserve"> Sep</v>
      </c>
      <c r="BA2" s="92" t="str">
        <f>+Table3[[#Headers],[ Oct]]</f>
        <v xml:space="preserve"> Oct</v>
      </c>
      <c r="BB2" s="92" t="str">
        <f>+Table3[[#Headers],[ Nov]]</f>
        <v xml:space="preserve"> Nov</v>
      </c>
      <c r="BC2" s="92" t="str">
        <f>+Table3[[#Headers],[ Dec]]</f>
        <v xml:space="preserve"> Dec</v>
      </c>
    </row>
    <row r="3" spans="1:55" ht="24" hidden="1" customHeight="1" x14ac:dyDescent="0.25">
      <c r="AE3" s="220" t="s">
        <v>432</v>
      </c>
      <c r="AF3" s="220"/>
      <c r="AG3" s="220"/>
      <c r="AH3" s="220"/>
      <c r="AI3" s="220"/>
      <c r="AJ3" s="220"/>
      <c r="AK3" s="220"/>
      <c r="AL3" s="220"/>
      <c r="AM3" s="220"/>
      <c r="AN3" s="220"/>
      <c r="AO3" s="220"/>
      <c r="AP3" s="220"/>
      <c r="AQ3" s="113"/>
      <c r="AR3" s="221" t="s">
        <v>433</v>
      </c>
      <c r="AS3" s="221"/>
      <c r="AT3" s="221"/>
      <c r="AU3" s="221"/>
      <c r="AV3" s="221"/>
      <c r="AW3" s="221"/>
      <c r="AX3" s="221"/>
      <c r="AY3" s="221"/>
      <c r="AZ3" s="221"/>
      <c r="BA3" s="221"/>
      <c r="BB3" s="221"/>
      <c r="BC3" s="221"/>
    </row>
    <row r="4" spans="1:55" s="96" customFormat="1" ht="50.45" hidden="1" customHeight="1" x14ac:dyDescent="0.25">
      <c r="A4" s="86" t="s">
        <v>0</v>
      </c>
      <c r="B4" s="87" t="s">
        <v>1</v>
      </c>
      <c r="C4" s="87" t="s">
        <v>396</v>
      </c>
      <c r="D4" s="86" t="s">
        <v>2</v>
      </c>
      <c r="E4" s="86" t="s">
        <v>3</v>
      </c>
      <c r="F4" s="86" t="s">
        <v>7</v>
      </c>
      <c r="G4" s="88" t="s">
        <v>187</v>
      </c>
      <c r="H4" s="89" t="s">
        <v>246</v>
      </c>
      <c r="I4" s="100" t="s">
        <v>4</v>
      </c>
      <c r="J4" s="89" t="s">
        <v>442</v>
      </c>
      <c r="K4" s="89" t="s">
        <v>441</v>
      </c>
      <c r="L4" s="89" t="s">
        <v>443</v>
      </c>
      <c r="M4" s="89" t="s">
        <v>444</v>
      </c>
      <c r="N4" s="91" t="s">
        <v>240</v>
      </c>
      <c r="O4" s="92" t="s">
        <v>6</v>
      </c>
      <c r="P4" s="86" t="s">
        <v>5</v>
      </c>
      <c r="Q4" s="86" t="s">
        <v>189</v>
      </c>
      <c r="R4" s="86" t="s">
        <v>190</v>
      </c>
      <c r="S4" s="93" t="s">
        <v>192</v>
      </c>
      <c r="T4" s="93" t="s">
        <v>191</v>
      </c>
      <c r="U4" s="93" t="s">
        <v>193</v>
      </c>
      <c r="V4" s="125" t="s">
        <v>253</v>
      </c>
      <c r="W4" s="125" t="s">
        <v>254</v>
      </c>
      <c r="X4" s="125" t="s">
        <v>255</v>
      </c>
      <c r="Y4" s="93" t="s">
        <v>368</v>
      </c>
      <c r="Z4" s="93" t="s">
        <v>369</v>
      </c>
      <c r="AA4" s="93" t="s">
        <v>370</v>
      </c>
      <c r="AB4" s="94" t="s">
        <v>393</v>
      </c>
      <c r="AC4" s="94" t="s">
        <v>394</v>
      </c>
      <c r="AD4" s="94" t="s">
        <v>395</v>
      </c>
      <c r="AE4" s="94" t="s">
        <v>408</v>
      </c>
      <c r="AF4" s="94" t="s">
        <v>409</v>
      </c>
      <c r="AG4" s="94" t="s">
        <v>410</v>
      </c>
      <c r="AH4" s="94" t="s">
        <v>411</v>
      </c>
      <c r="AI4" s="94" t="s">
        <v>412</v>
      </c>
      <c r="AJ4" s="94" t="s">
        <v>413</v>
      </c>
      <c r="AK4" s="94" t="s">
        <v>414</v>
      </c>
      <c r="AL4" s="94" t="s">
        <v>415</v>
      </c>
      <c r="AM4" s="95" t="s">
        <v>416</v>
      </c>
      <c r="AN4" s="95" t="s">
        <v>417</v>
      </c>
      <c r="AO4" s="95" t="s">
        <v>418</v>
      </c>
      <c r="AP4" s="95" t="s">
        <v>419</v>
      </c>
      <c r="AQ4" s="114" t="s">
        <v>407</v>
      </c>
      <c r="AR4" s="95" t="s">
        <v>420</v>
      </c>
      <c r="AS4" s="95" t="s">
        <v>421</v>
      </c>
      <c r="AT4" s="95" t="s">
        <v>422</v>
      </c>
      <c r="AU4" s="95" t="s">
        <v>423</v>
      </c>
      <c r="AV4" s="95" t="s">
        <v>424</v>
      </c>
      <c r="AW4" s="95" t="s">
        <v>425</v>
      </c>
      <c r="AX4" s="95" t="s">
        <v>426</v>
      </c>
      <c r="AY4" s="95" t="s">
        <v>427</v>
      </c>
      <c r="AZ4" s="95" t="s">
        <v>428</v>
      </c>
      <c r="BA4" s="95" t="s">
        <v>429</v>
      </c>
      <c r="BB4" s="95" t="s">
        <v>430</v>
      </c>
      <c r="BC4" s="95" t="s">
        <v>431</v>
      </c>
    </row>
    <row r="5" spans="1:55" s="96" customFormat="1" ht="12.6" hidden="1" customHeight="1" x14ac:dyDescent="0.25">
      <c r="A5" s="86"/>
      <c r="B5" s="87" t="s">
        <v>194</v>
      </c>
      <c r="C5" s="87"/>
      <c r="D5" s="97" t="s">
        <v>104</v>
      </c>
      <c r="E5" s="97" t="str">
        <f>IFERROR(VLOOKUP(D5,Table1[],2,FALSE),"")</f>
        <v>producers</v>
      </c>
      <c r="F5" s="97"/>
      <c r="G5" s="88"/>
      <c r="H5" s="89"/>
      <c r="I5" s="80">
        <f t="shared" ref="I5:I48" si="0">+H5*G5*F5/63.34</f>
        <v>0</v>
      </c>
      <c r="J5" s="80">
        <f>+I5+L5+M5</f>
        <v>0</v>
      </c>
      <c r="K5" s="80">
        <f>+Table3[[#This Row],[Cost]]</f>
        <v>0</v>
      </c>
      <c r="L5" s="80"/>
      <c r="M5" s="80"/>
      <c r="N5" s="91"/>
      <c r="O5" s="92"/>
      <c r="P5" s="86"/>
      <c r="Q5" s="76"/>
      <c r="R5" s="86"/>
      <c r="S5" s="93">
        <f>IFERROR(+I5/$J5,0)</f>
        <v>0</v>
      </c>
      <c r="T5" s="93">
        <f>IFERROR(+L5/$J5,0)</f>
        <v>0</v>
      </c>
      <c r="U5" s="93">
        <f>IFERROR(M5/J5,0)</f>
        <v>0</v>
      </c>
      <c r="V5" s="105">
        <f>+S5*J5</f>
        <v>0</v>
      </c>
      <c r="W5" s="105">
        <f>+T5*J5</f>
        <v>0</v>
      </c>
      <c r="X5" s="105">
        <f>+J5*U5</f>
        <v>0</v>
      </c>
      <c r="Y5" s="92"/>
      <c r="Z5" s="92"/>
      <c r="AA5" s="93"/>
      <c r="AB5" s="98">
        <f>+Y5*$I5</f>
        <v>0</v>
      </c>
      <c r="AC5" s="98">
        <f t="shared" ref="AC5:AD5" si="1">+Z5*$I5</f>
        <v>0</v>
      </c>
      <c r="AD5" s="98">
        <f t="shared" si="1"/>
        <v>0</v>
      </c>
      <c r="AE5" s="86"/>
      <c r="AF5" s="86"/>
      <c r="AG5" s="86"/>
      <c r="AH5" s="86"/>
      <c r="AI5" s="86"/>
      <c r="AJ5" s="86"/>
      <c r="AK5" s="86"/>
      <c r="AL5" s="86"/>
      <c r="AM5" s="116"/>
      <c r="AN5" s="116"/>
      <c r="AO5" s="116"/>
      <c r="AP5" s="116"/>
      <c r="AQ5" s="116"/>
      <c r="AR5" s="116"/>
      <c r="AS5" s="117"/>
      <c r="AT5" s="117"/>
      <c r="AU5" s="117"/>
      <c r="AV5" s="117"/>
      <c r="AW5" s="117"/>
      <c r="AX5" s="117"/>
      <c r="AY5" s="117"/>
      <c r="AZ5" s="77"/>
      <c r="BA5" s="77"/>
      <c r="BB5" s="77"/>
      <c r="BC5" s="77"/>
    </row>
    <row r="6" spans="1:55" s="96" customFormat="1" ht="12.6" hidden="1" customHeight="1" x14ac:dyDescent="0.25">
      <c r="A6" s="86"/>
      <c r="B6" s="78" t="s">
        <v>195</v>
      </c>
      <c r="C6" s="78"/>
      <c r="D6" s="97" t="s">
        <v>104</v>
      </c>
      <c r="E6" s="97" t="str">
        <f>IFERROR(VLOOKUP(D6,Table1[],2,FALSE),"")</f>
        <v>producers</v>
      </c>
      <c r="F6" s="97"/>
      <c r="G6" s="79">
        <v>200</v>
      </c>
      <c r="H6" s="90">
        <v>90000</v>
      </c>
      <c r="I6" s="80">
        <f t="shared" si="0"/>
        <v>0</v>
      </c>
      <c r="J6" s="80">
        <f>+I6+L6+M6</f>
        <v>0</v>
      </c>
      <c r="K6" s="80">
        <f>+Table3[[#This Row],[Cost]]</f>
        <v>0</v>
      </c>
      <c r="L6" s="80"/>
      <c r="M6" s="80"/>
      <c r="N6" s="81"/>
      <c r="O6" s="92"/>
      <c r="P6" s="86"/>
      <c r="Q6" s="76"/>
      <c r="R6" s="86"/>
      <c r="S6" s="93">
        <f>IFERROR(+I6/$J6,0)</f>
        <v>0</v>
      </c>
      <c r="T6" s="93">
        <f t="shared" ref="T6:T47" si="2">IFERROR(+L6/$J6,0)</f>
        <v>0</v>
      </c>
      <c r="U6" s="93">
        <f>IFERROR(M6/J6,0)</f>
        <v>0</v>
      </c>
      <c r="V6" s="105">
        <f>+S6*J6</f>
        <v>0</v>
      </c>
      <c r="W6" s="105">
        <f>+T6*J6</f>
        <v>0</v>
      </c>
      <c r="X6" s="105">
        <f>+J6*U6</f>
        <v>0</v>
      </c>
      <c r="Y6" s="92"/>
      <c r="Z6" s="92"/>
      <c r="AA6" s="93"/>
      <c r="AB6" s="98">
        <f t="shared" ref="AB6:AB47" si="3">+Y6*$I6</f>
        <v>0</v>
      </c>
      <c r="AC6" s="98">
        <f t="shared" ref="AC6:AC47" si="4">+Z6*$I6</f>
        <v>0</v>
      </c>
      <c r="AD6" s="98">
        <f t="shared" ref="AD6:AD47" si="5">+AA6*$I6</f>
        <v>0</v>
      </c>
      <c r="AE6" s="86"/>
      <c r="AF6" s="86"/>
      <c r="AG6" s="86"/>
      <c r="AH6" s="86"/>
      <c r="AI6" s="86"/>
      <c r="AJ6" s="86"/>
      <c r="AK6" s="86"/>
      <c r="AL6" s="86"/>
      <c r="AM6" s="116"/>
      <c r="AN6" s="116"/>
      <c r="AO6" s="116"/>
      <c r="AP6" s="116"/>
      <c r="AQ6" s="116"/>
      <c r="AR6" s="116"/>
      <c r="AS6" s="117"/>
      <c r="AT6" s="117"/>
      <c r="AU6" s="117"/>
      <c r="AV6" s="117"/>
      <c r="AW6" s="117"/>
      <c r="AX6" s="117"/>
      <c r="AY6" s="117"/>
      <c r="AZ6" s="77"/>
      <c r="BA6" s="77"/>
      <c r="BB6" s="77"/>
      <c r="BC6" s="77"/>
    </row>
    <row r="7" spans="1:55" s="96" customFormat="1" ht="12.6" hidden="1" customHeight="1" x14ac:dyDescent="0.25">
      <c r="A7" s="86"/>
      <c r="B7" s="78" t="s">
        <v>196</v>
      </c>
      <c r="C7" s="78"/>
      <c r="D7" s="97" t="s">
        <v>104</v>
      </c>
      <c r="E7" s="97" t="str">
        <f>IFERROR(VLOOKUP(D7,Table1[],2,FALSE),"")</f>
        <v>producers</v>
      </c>
      <c r="F7" s="97"/>
      <c r="G7" s="79">
        <v>3000</v>
      </c>
      <c r="H7" s="90">
        <v>5000</v>
      </c>
      <c r="I7" s="80">
        <f t="shared" si="0"/>
        <v>0</v>
      </c>
      <c r="J7" s="80">
        <f>+I7+L7+M7</f>
        <v>0</v>
      </c>
      <c r="K7" s="80">
        <f>+Table3[[#This Row],[Cost]]</f>
        <v>0</v>
      </c>
      <c r="L7" s="80"/>
      <c r="M7" s="80"/>
      <c r="N7" s="81"/>
      <c r="O7" s="92"/>
      <c r="P7" s="86"/>
      <c r="Q7" s="76"/>
      <c r="R7" s="86"/>
      <c r="S7" s="93">
        <f>IFERROR(+I7/$J7,0)</f>
        <v>0</v>
      </c>
      <c r="T7" s="93">
        <f t="shared" si="2"/>
        <v>0</v>
      </c>
      <c r="U7" s="93">
        <f>IFERROR(M7/J7,0)</f>
        <v>0</v>
      </c>
      <c r="V7" s="105">
        <f>+S7*J7</f>
        <v>0</v>
      </c>
      <c r="W7" s="105">
        <f>+T7*J7</f>
        <v>0</v>
      </c>
      <c r="X7" s="105">
        <f>+J7*U7</f>
        <v>0</v>
      </c>
      <c r="Y7" s="92"/>
      <c r="Z7" s="92"/>
      <c r="AA7" s="93"/>
      <c r="AB7" s="98">
        <f t="shared" si="3"/>
        <v>0</v>
      </c>
      <c r="AC7" s="98">
        <f t="shared" si="4"/>
        <v>0</v>
      </c>
      <c r="AD7" s="98">
        <f t="shared" si="5"/>
        <v>0</v>
      </c>
      <c r="AE7" s="86"/>
      <c r="AF7" s="86"/>
      <c r="AG7" s="86"/>
      <c r="AH7" s="86"/>
      <c r="AI7" s="86"/>
      <c r="AJ7" s="86"/>
      <c r="AK7" s="86"/>
      <c r="AL7" s="86"/>
      <c r="AM7" s="116"/>
      <c r="AN7" s="116"/>
      <c r="AO7" s="116"/>
      <c r="AP7" s="116"/>
      <c r="AQ7" s="116"/>
      <c r="AR7" s="116"/>
      <c r="AS7" s="117"/>
      <c r="AT7" s="117"/>
      <c r="AU7" s="117"/>
      <c r="AV7" s="117"/>
      <c r="AW7" s="117"/>
      <c r="AX7" s="117"/>
      <c r="AY7" s="117"/>
      <c r="AZ7" s="77"/>
      <c r="BA7" s="77"/>
      <c r="BB7" s="77"/>
      <c r="BC7" s="77"/>
    </row>
    <row r="8" spans="1:55" s="96" customFormat="1" ht="10.5" hidden="1" customHeight="1" x14ac:dyDescent="0.25">
      <c r="A8" s="86"/>
      <c r="B8" s="78" t="s">
        <v>250</v>
      </c>
      <c r="C8" s="78"/>
      <c r="D8" s="97" t="s">
        <v>104</v>
      </c>
      <c r="E8" s="97" t="str">
        <f>IFERROR(VLOOKUP(D8,Table1[],2,FALSE),"")</f>
        <v>producers</v>
      </c>
      <c r="F8" s="97"/>
      <c r="G8" s="79">
        <v>2500</v>
      </c>
      <c r="H8" s="90">
        <v>6000</v>
      </c>
      <c r="I8" s="80">
        <f t="shared" si="0"/>
        <v>0</v>
      </c>
      <c r="J8" s="80">
        <f>+I8+L8+M8</f>
        <v>0</v>
      </c>
      <c r="K8" s="80">
        <f>+Table3[[#This Row],[Cost]]</f>
        <v>0</v>
      </c>
      <c r="L8" s="80"/>
      <c r="M8" s="80"/>
      <c r="N8" s="81"/>
      <c r="O8" s="92"/>
      <c r="P8" s="86"/>
      <c r="Q8" s="76"/>
      <c r="R8" s="86"/>
      <c r="S8" s="93">
        <f>IFERROR(+I8/$J8,0)</f>
        <v>0</v>
      </c>
      <c r="T8" s="93">
        <f t="shared" si="2"/>
        <v>0</v>
      </c>
      <c r="U8" s="93">
        <f>IFERROR(M8/J8,0)</f>
        <v>0</v>
      </c>
      <c r="V8" s="105">
        <f>+S8*J8</f>
        <v>0</v>
      </c>
      <c r="W8" s="105">
        <f>+T8*J8</f>
        <v>0</v>
      </c>
      <c r="X8" s="105">
        <f>+J8*U8</f>
        <v>0</v>
      </c>
      <c r="Y8" s="92"/>
      <c r="Z8" s="92"/>
      <c r="AA8" s="93"/>
      <c r="AB8" s="98">
        <f t="shared" si="3"/>
        <v>0</v>
      </c>
      <c r="AC8" s="98">
        <f t="shared" si="4"/>
        <v>0</v>
      </c>
      <c r="AD8" s="98">
        <f t="shared" si="5"/>
        <v>0</v>
      </c>
      <c r="AE8" s="86"/>
      <c r="AF8" s="86"/>
      <c r="AG8" s="86"/>
      <c r="AH8" s="86"/>
      <c r="AI8" s="86"/>
      <c r="AJ8" s="86"/>
      <c r="AK8" s="86"/>
      <c r="AL8" s="86"/>
      <c r="AM8" s="116"/>
      <c r="AN8" s="116"/>
      <c r="AO8" s="116"/>
      <c r="AP8" s="116"/>
      <c r="AQ8" s="116"/>
      <c r="AR8" s="116"/>
      <c r="AS8" s="117"/>
      <c r="AT8" s="117"/>
      <c r="AU8" s="117"/>
      <c r="AV8" s="117"/>
      <c r="AW8" s="117"/>
      <c r="AX8" s="117"/>
      <c r="AY8" s="117"/>
      <c r="AZ8" s="77"/>
      <c r="BA8" s="77"/>
      <c r="BB8" s="77"/>
      <c r="BC8" s="77"/>
    </row>
    <row r="9" spans="1:55" s="102" customFormat="1" ht="15.6" customHeight="1" x14ac:dyDescent="0.25">
      <c r="A9" s="110"/>
      <c r="B9" s="111" t="s">
        <v>445</v>
      </c>
      <c r="C9" s="110" t="s">
        <v>397</v>
      </c>
      <c r="D9" s="110"/>
      <c r="E9" s="110" t="str">
        <f>IFERROR(VLOOKUP(D9,Table1[],2,FALSE),"")</f>
        <v/>
      </c>
      <c r="F9" s="159"/>
      <c r="G9" s="160"/>
      <c r="H9" s="161"/>
      <c r="I9" s="162">
        <f t="shared" si="0"/>
        <v>0</v>
      </c>
      <c r="J9" s="162">
        <f>+J11+J12+J13+J16+J17+J18+J21+J22+J23+J31+J34+J35+J36+J37+J39+J40+J41+J38+J26+J27+J28</f>
        <v>1667831.7860550538</v>
      </c>
      <c r="K9" s="162">
        <f t="shared" ref="K9:AD9" si="6">+K11+K12+K13+K16+K17+K18+K21+K22+K23+K31+K34+K35+K36+K37+K39+K40+K41+K38+K26+K27+K28</f>
        <v>1452937.0042627091</v>
      </c>
      <c r="L9" s="162">
        <f t="shared" si="6"/>
        <v>141315.68041485819</v>
      </c>
      <c r="M9" s="162">
        <f t="shared" si="6"/>
        <v>73579.101377486586</v>
      </c>
      <c r="N9" s="162"/>
      <c r="O9" s="162">
        <f t="shared" si="6"/>
        <v>0</v>
      </c>
      <c r="P9" s="162"/>
      <c r="Q9" s="162"/>
      <c r="R9" s="162"/>
      <c r="S9" s="162"/>
      <c r="T9" s="162"/>
      <c r="U9" s="162"/>
      <c r="V9" s="162">
        <f t="shared" si="6"/>
        <v>1452937.0042627091</v>
      </c>
      <c r="W9" s="162">
        <f t="shared" si="6"/>
        <v>141315.68041485819</v>
      </c>
      <c r="X9" s="162">
        <f t="shared" si="6"/>
        <v>73579.101377486571</v>
      </c>
      <c r="Y9" s="162"/>
      <c r="Z9" s="162"/>
      <c r="AA9" s="162"/>
      <c r="AB9" s="162">
        <f t="shared" si="6"/>
        <v>0</v>
      </c>
      <c r="AC9" s="162">
        <f t="shared" si="6"/>
        <v>1001539.3116514051</v>
      </c>
      <c r="AD9" s="162">
        <f t="shared" si="6"/>
        <v>451397.69261130405</v>
      </c>
      <c r="AE9" s="112">
        <f t="shared" ref="AE9:AL9" si="7">+AE11+AE12+AE13+AE16+AE17+AE18+AE21+AE22+AE23+AE31+AE34+AE35+AE36+AE37+AE39+AE40+AE41</f>
        <v>0</v>
      </c>
      <c r="AF9" s="112">
        <f t="shared" si="7"/>
        <v>0</v>
      </c>
      <c r="AG9" s="112">
        <f t="shared" si="7"/>
        <v>0</v>
      </c>
      <c r="AH9" s="112">
        <f t="shared" si="7"/>
        <v>0</v>
      </c>
      <c r="AI9" s="112">
        <f t="shared" si="7"/>
        <v>0</v>
      </c>
      <c r="AJ9" s="112">
        <f t="shared" si="7"/>
        <v>0</v>
      </c>
      <c r="AK9" s="112">
        <f t="shared" si="7"/>
        <v>0</v>
      </c>
      <c r="AL9" s="112">
        <f t="shared" si="7"/>
        <v>0</v>
      </c>
      <c r="AM9" s="118"/>
      <c r="AN9" s="118"/>
      <c r="AO9" s="118"/>
      <c r="AP9" s="118"/>
      <c r="AQ9" s="118"/>
      <c r="AR9" s="118"/>
      <c r="AS9" s="118"/>
      <c r="AT9" s="118"/>
      <c r="AU9" s="118"/>
      <c r="AV9" s="118"/>
      <c r="AW9" s="118"/>
      <c r="AX9" s="118"/>
      <c r="AY9" s="118"/>
      <c r="AZ9" s="101"/>
      <c r="BA9" s="101"/>
      <c r="BB9" s="101"/>
      <c r="BC9" s="101"/>
    </row>
    <row r="10" spans="1:55" s="102" customFormat="1" ht="12.6" customHeight="1" x14ac:dyDescent="0.25">
      <c r="A10" s="92" t="s">
        <v>242</v>
      </c>
      <c r="B10" s="99" t="s">
        <v>188</v>
      </c>
      <c r="C10" s="97" t="s">
        <v>397</v>
      </c>
      <c r="D10" s="92"/>
      <c r="E10" s="97" t="str">
        <f>IFERROR(VLOOKUP(D10,Table1[],2,FALSE),"")</f>
        <v/>
      </c>
      <c r="F10" s="163"/>
      <c r="G10" s="164"/>
      <c r="H10" s="165"/>
      <c r="I10" s="166">
        <f t="shared" si="0"/>
        <v>0</v>
      </c>
      <c r="J10" s="166">
        <f t="shared" ref="J10:J42" si="8">+I10+L10+M10</f>
        <v>0</v>
      </c>
      <c r="K10" s="166">
        <f>+Table3[[#This Row],[Cost]]</f>
        <v>0</v>
      </c>
      <c r="L10" s="166"/>
      <c r="M10" s="166"/>
      <c r="N10" s="167"/>
      <c r="O10" s="163"/>
      <c r="P10" s="163"/>
      <c r="Q10" s="168" t="s">
        <v>352</v>
      </c>
      <c r="R10" s="163"/>
      <c r="S10" s="164">
        <f t="shared" ref="S10:S42" si="9">IFERROR(+I10/$J10,0)</f>
        <v>0</v>
      </c>
      <c r="T10" s="164">
        <f t="shared" si="2"/>
        <v>0</v>
      </c>
      <c r="U10" s="164">
        <f t="shared" ref="U10:U42" si="10">IFERROR(M10/J10,0)</f>
        <v>0</v>
      </c>
      <c r="V10" s="169">
        <f t="shared" ref="V10:V42" si="11">+S10*J10</f>
        <v>0</v>
      </c>
      <c r="W10" s="169">
        <f t="shared" ref="W10:W42" si="12">+T10*J10</f>
        <v>0</v>
      </c>
      <c r="X10" s="169">
        <f t="shared" ref="X10:X42" si="13">+J10*U10</f>
        <v>0</v>
      </c>
      <c r="Y10" s="164"/>
      <c r="Z10" s="164"/>
      <c r="AA10" s="164"/>
      <c r="AB10" s="170">
        <f t="shared" si="3"/>
        <v>0</v>
      </c>
      <c r="AC10" s="170">
        <f t="shared" si="4"/>
        <v>0</v>
      </c>
      <c r="AD10" s="170">
        <f t="shared" si="5"/>
        <v>0</v>
      </c>
      <c r="AE10" s="92"/>
      <c r="AF10" s="92"/>
      <c r="AG10" s="92"/>
      <c r="AH10" s="92"/>
      <c r="AI10" s="92"/>
      <c r="AJ10" s="92"/>
      <c r="AK10" s="92"/>
      <c r="AL10" s="92"/>
      <c r="AM10" s="119"/>
      <c r="AN10" s="119"/>
      <c r="AO10" s="119"/>
      <c r="AP10" s="119"/>
      <c r="AQ10" s="119"/>
      <c r="AR10" s="119"/>
      <c r="AS10" s="117"/>
      <c r="AT10" s="117"/>
      <c r="AU10" s="117"/>
      <c r="AV10" s="117"/>
      <c r="AW10" s="117"/>
      <c r="AX10" s="117"/>
      <c r="AY10" s="117"/>
      <c r="AZ10" s="77"/>
      <c r="BA10" s="77"/>
      <c r="BB10" s="77"/>
      <c r="BC10" s="77"/>
    </row>
    <row r="11" spans="1:55" s="104" customFormat="1" ht="12.6" customHeight="1" x14ac:dyDescent="0.25">
      <c r="A11" s="97">
        <v>1</v>
      </c>
      <c r="B11" s="103" t="s">
        <v>436</v>
      </c>
      <c r="C11" s="97" t="s">
        <v>397</v>
      </c>
      <c r="D11" s="97" t="s">
        <v>27</v>
      </c>
      <c r="E11" s="97" t="str">
        <f>IFERROR(VLOOKUP(D11,Table1[],2,FALSE),"")</f>
        <v>units</v>
      </c>
      <c r="F11" s="168">
        <v>1</v>
      </c>
      <c r="G11" s="171">
        <f>+G7*2500/10</f>
        <v>750000</v>
      </c>
      <c r="H11" s="172">
        <v>1.5</v>
      </c>
      <c r="I11" s="166">
        <f t="shared" si="0"/>
        <v>17761.288285443636</v>
      </c>
      <c r="J11" s="166">
        <f t="shared" si="8"/>
        <v>22201.610356804544</v>
      </c>
      <c r="K11" s="166">
        <f>+Table3[[#This Row],[Cost]]</f>
        <v>17761.288285443636</v>
      </c>
      <c r="L11" s="166">
        <f>+I11*0.25</f>
        <v>4440.3220713609089</v>
      </c>
      <c r="M11" s="166"/>
      <c r="N11" s="167" t="s">
        <v>241</v>
      </c>
      <c r="O11" s="168"/>
      <c r="P11" s="168"/>
      <c r="Q11" s="168" t="s">
        <v>352</v>
      </c>
      <c r="R11" s="173" t="s">
        <v>371</v>
      </c>
      <c r="S11" s="164">
        <f t="shared" si="9"/>
        <v>0.8</v>
      </c>
      <c r="T11" s="164">
        <f t="shared" si="2"/>
        <v>0.2</v>
      </c>
      <c r="U11" s="164">
        <f t="shared" si="10"/>
        <v>0</v>
      </c>
      <c r="V11" s="169">
        <f t="shared" si="11"/>
        <v>17761.288285443636</v>
      </c>
      <c r="W11" s="169">
        <f t="shared" si="12"/>
        <v>4440.3220713609089</v>
      </c>
      <c r="X11" s="169">
        <f t="shared" si="13"/>
        <v>0</v>
      </c>
      <c r="Y11" s="171"/>
      <c r="Z11" s="171">
        <v>1</v>
      </c>
      <c r="AA11" s="164">
        <f t="shared" ref="AA11:AA46" si="14">1-Y11-Z11</f>
        <v>0</v>
      </c>
      <c r="AB11" s="170">
        <f t="shared" si="3"/>
        <v>0</v>
      </c>
      <c r="AC11" s="170">
        <f t="shared" si="4"/>
        <v>17761.288285443636</v>
      </c>
      <c r="AD11" s="170">
        <f t="shared" si="5"/>
        <v>0</v>
      </c>
      <c r="AE11" s="97"/>
      <c r="AF11" s="97"/>
      <c r="AG11" s="97"/>
      <c r="AH11" s="97"/>
      <c r="AI11" s="97"/>
      <c r="AJ11" s="97"/>
      <c r="AK11" s="97"/>
      <c r="AL11" s="97"/>
      <c r="AM11" s="117">
        <v>500000</v>
      </c>
      <c r="AN11" s="117">
        <v>300000</v>
      </c>
      <c r="AO11" s="117"/>
      <c r="AP11" s="117"/>
      <c r="AQ11" s="117"/>
      <c r="AR11" s="117"/>
      <c r="AS11" s="117"/>
      <c r="AT11" s="117"/>
      <c r="AU11" s="117"/>
      <c r="AV11" s="117"/>
      <c r="AW11" s="117"/>
      <c r="AX11" s="117"/>
      <c r="AY11" s="117"/>
      <c r="AZ11" s="77"/>
      <c r="BA11" s="77"/>
      <c r="BB11" s="77"/>
      <c r="BC11" s="77"/>
    </row>
    <row r="12" spans="1:55" s="104" customFormat="1" ht="12.6" customHeight="1" x14ac:dyDescent="0.25">
      <c r="A12" s="97">
        <v>2</v>
      </c>
      <c r="B12" s="103" t="s">
        <v>399</v>
      </c>
      <c r="C12" s="97" t="s">
        <v>397</v>
      </c>
      <c r="D12" s="97" t="s">
        <v>28</v>
      </c>
      <c r="E12" s="97" t="str">
        <f>IFERROR(VLOOKUP(D12,Table1[],2,FALSE),"")</f>
        <v>kg</v>
      </c>
      <c r="F12" s="168">
        <v>1</v>
      </c>
      <c r="G12" s="171">
        <v>60000</v>
      </c>
      <c r="H12" s="172">
        <f>300000/10000</f>
        <v>30</v>
      </c>
      <c r="I12" s="166">
        <f t="shared" si="0"/>
        <v>28418.061256709818</v>
      </c>
      <c r="J12" s="166">
        <f t="shared" si="8"/>
        <v>35522.576570887271</v>
      </c>
      <c r="K12" s="166">
        <f>+Table3[[#This Row],[Cost]]</f>
        <v>28418.061256709818</v>
      </c>
      <c r="L12" s="166">
        <f>+I12*0.25</f>
        <v>7104.5153141774545</v>
      </c>
      <c r="M12" s="166"/>
      <c r="N12" s="167" t="s">
        <v>241</v>
      </c>
      <c r="O12" s="168"/>
      <c r="P12" s="168"/>
      <c r="Q12" s="168" t="s">
        <v>352</v>
      </c>
      <c r="R12" s="173" t="s">
        <v>371</v>
      </c>
      <c r="S12" s="164">
        <f t="shared" si="9"/>
        <v>0.8</v>
      </c>
      <c r="T12" s="164">
        <f t="shared" si="2"/>
        <v>0.2</v>
      </c>
      <c r="U12" s="164">
        <f t="shared" si="10"/>
        <v>0</v>
      </c>
      <c r="V12" s="169">
        <f t="shared" si="11"/>
        <v>28418.061256709818</v>
      </c>
      <c r="W12" s="169">
        <f t="shared" si="12"/>
        <v>7104.5153141774545</v>
      </c>
      <c r="X12" s="169">
        <f t="shared" si="13"/>
        <v>0</v>
      </c>
      <c r="Y12" s="171"/>
      <c r="Z12" s="171">
        <v>1</v>
      </c>
      <c r="AA12" s="164">
        <f t="shared" si="14"/>
        <v>0</v>
      </c>
      <c r="AB12" s="170">
        <f t="shared" si="3"/>
        <v>0</v>
      </c>
      <c r="AC12" s="170">
        <f t="shared" si="4"/>
        <v>28418.061256709818</v>
      </c>
      <c r="AD12" s="170">
        <f t="shared" si="5"/>
        <v>0</v>
      </c>
      <c r="AE12" s="97"/>
      <c r="AF12" s="97"/>
      <c r="AG12" s="97"/>
      <c r="AH12" s="97"/>
      <c r="AI12" s="97"/>
      <c r="AJ12" s="97"/>
      <c r="AK12" s="97"/>
      <c r="AL12" s="97"/>
      <c r="AM12" s="117"/>
      <c r="AN12" s="117"/>
      <c r="AO12" s="117"/>
      <c r="AP12" s="117"/>
      <c r="AQ12" s="117"/>
      <c r="AR12" s="117"/>
      <c r="AS12" s="117"/>
      <c r="AT12" s="117"/>
      <c r="AU12" s="117"/>
      <c r="AV12" s="117"/>
      <c r="AW12" s="117"/>
      <c r="AX12" s="117">
        <v>30000</v>
      </c>
      <c r="AY12" s="117">
        <f>+Table3[[#This Row],[Quantity]]/2</f>
        <v>30000</v>
      </c>
      <c r="AZ12" s="77"/>
      <c r="BA12" s="77"/>
      <c r="BB12" s="77"/>
      <c r="BC12" s="77"/>
    </row>
    <row r="13" spans="1:55" s="104" customFormat="1" ht="12.6" customHeight="1" x14ac:dyDescent="0.25">
      <c r="A13" s="97">
        <v>3</v>
      </c>
      <c r="B13" s="103" t="s">
        <v>400</v>
      </c>
      <c r="C13" s="97" t="s">
        <v>397</v>
      </c>
      <c r="D13" s="97" t="s">
        <v>28</v>
      </c>
      <c r="E13" s="97" t="str">
        <f>IFERROR(VLOOKUP(D13,Table1[],2,FALSE),"")</f>
        <v>kg</v>
      </c>
      <c r="F13" s="168">
        <v>1</v>
      </c>
      <c r="G13" s="171">
        <f>+G18/1800*60</f>
        <v>1250</v>
      </c>
      <c r="H13" s="172">
        <v>150</v>
      </c>
      <c r="I13" s="166">
        <f t="shared" si="0"/>
        <v>2960.2147142406061</v>
      </c>
      <c r="J13" s="166">
        <f t="shared" si="8"/>
        <v>3700.2683928007577</v>
      </c>
      <c r="K13" s="166">
        <f>+Table3[[#This Row],[Cost]]</f>
        <v>2960.2147142406061</v>
      </c>
      <c r="L13" s="166">
        <f>+I13*0.25</f>
        <v>740.05367856015152</v>
      </c>
      <c r="M13" s="166"/>
      <c r="N13" s="167" t="s">
        <v>241</v>
      </c>
      <c r="O13" s="168"/>
      <c r="P13" s="168"/>
      <c r="Q13" s="168" t="s">
        <v>352</v>
      </c>
      <c r="R13" s="173" t="s">
        <v>371</v>
      </c>
      <c r="S13" s="164">
        <f t="shared" si="9"/>
        <v>0.79999999999999993</v>
      </c>
      <c r="T13" s="164">
        <f t="shared" si="2"/>
        <v>0.19999999999999998</v>
      </c>
      <c r="U13" s="164">
        <f t="shared" si="10"/>
        <v>0</v>
      </c>
      <c r="V13" s="169">
        <f t="shared" si="11"/>
        <v>2960.2147142406061</v>
      </c>
      <c r="W13" s="169">
        <f t="shared" si="12"/>
        <v>740.05367856015152</v>
      </c>
      <c r="X13" s="169">
        <f t="shared" si="13"/>
        <v>0</v>
      </c>
      <c r="Y13" s="171"/>
      <c r="Z13" s="171">
        <v>1</v>
      </c>
      <c r="AA13" s="164">
        <f t="shared" si="14"/>
        <v>0</v>
      </c>
      <c r="AB13" s="170">
        <f t="shared" si="3"/>
        <v>0</v>
      </c>
      <c r="AC13" s="170">
        <f t="shared" si="4"/>
        <v>2960.2147142406061</v>
      </c>
      <c r="AD13" s="170">
        <f t="shared" si="5"/>
        <v>0</v>
      </c>
      <c r="AE13" s="97"/>
      <c r="AF13" s="97"/>
      <c r="AG13" s="97"/>
      <c r="AH13" s="97"/>
      <c r="AI13" s="97"/>
      <c r="AJ13" s="97"/>
      <c r="AK13" s="97"/>
      <c r="AL13" s="97"/>
      <c r="AM13" s="117"/>
      <c r="AN13" s="117"/>
      <c r="AO13" s="117"/>
      <c r="AP13" s="117"/>
      <c r="AQ13" s="117"/>
      <c r="AR13" s="117"/>
      <c r="AS13" s="117"/>
      <c r="AT13" s="117"/>
      <c r="AU13" s="117">
        <v>1500</v>
      </c>
      <c r="AV13" s="117"/>
      <c r="AW13" s="117"/>
      <c r="AX13" s="117"/>
      <c r="AY13" s="117"/>
      <c r="AZ13" s="77"/>
      <c r="BA13" s="77"/>
      <c r="BB13" s="77"/>
      <c r="BC13" s="77"/>
    </row>
    <row r="14" spans="1:55" s="104" customFormat="1" ht="12.6" customHeight="1" x14ac:dyDescent="0.25">
      <c r="A14" s="97"/>
      <c r="B14" s="103"/>
      <c r="C14" s="97"/>
      <c r="D14" s="97"/>
      <c r="E14" s="97" t="str">
        <f>IFERROR(VLOOKUP(D14,Table1[],2,FALSE),"")</f>
        <v/>
      </c>
      <c r="F14" s="168"/>
      <c r="G14" s="171"/>
      <c r="H14" s="172"/>
      <c r="I14" s="166">
        <f t="shared" si="0"/>
        <v>0</v>
      </c>
      <c r="J14" s="166">
        <f t="shared" si="8"/>
        <v>0</v>
      </c>
      <c r="K14" s="166">
        <f>+Table3[[#This Row],[Cost]]</f>
        <v>0</v>
      </c>
      <c r="L14" s="166"/>
      <c r="M14" s="166"/>
      <c r="N14" s="167"/>
      <c r="O14" s="168"/>
      <c r="P14" s="168"/>
      <c r="Q14" s="168" t="s">
        <v>352</v>
      </c>
      <c r="R14" s="168"/>
      <c r="S14" s="164">
        <f t="shared" si="9"/>
        <v>0</v>
      </c>
      <c r="T14" s="164">
        <f t="shared" si="2"/>
        <v>0</v>
      </c>
      <c r="U14" s="164">
        <f t="shared" si="10"/>
        <v>0</v>
      </c>
      <c r="V14" s="169">
        <f t="shared" si="11"/>
        <v>0</v>
      </c>
      <c r="W14" s="169">
        <f t="shared" si="12"/>
        <v>0</v>
      </c>
      <c r="X14" s="169">
        <f t="shared" si="13"/>
        <v>0</v>
      </c>
      <c r="Y14" s="171"/>
      <c r="Z14" s="171"/>
      <c r="AA14" s="164">
        <f t="shared" si="14"/>
        <v>1</v>
      </c>
      <c r="AB14" s="170">
        <f t="shared" si="3"/>
        <v>0</v>
      </c>
      <c r="AC14" s="170">
        <f t="shared" si="4"/>
        <v>0</v>
      </c>
      <c r="AD14" s="170">
        <f t="shared" si="5"/>
        <v>0</v>
      </c>
      <c r="AE14" s="97"/>
      <c r="AF14" s="97"/>
      <c r="AG14" s="97"/>
      <c r="AH14" s="97"/>
      <c r="AI14" s="97"/>
      <c r="AJ14" s="97"/>
      <c r="AK14" s="97"/>
      <c r="AL14" s="97"/>
      <c r="AM14" s="117"/>
      <c r="AN14" s="117"/>
      <c r="AO14" s="117"/>
      <c r="AP14" s="117"/>
      <c r="AQ14" s="117"/>
      <c r="AR14" s="117"/>
      <c r="AS14" s="117"/>
      <c r="AT14" s="117"/>
      <c r="AU14" s="117"/>
      <c r="AV14" s="117"/>
      <c r="AW14" s="117"/>
      <c r="AX14" s="117"/>
      <c r="AY14" s="117"/>
      <c r="AZ14" s="77"/>
      <c r="BA14" s="77"/>
      <c r="BB14" s="77"/>
      <c r="BC14" s="77"/>
    </row>
    <row r="15" spans="1:55" s="102" customFormat="1" ht="12.6" customHeight="1" x14ac:dyDescent="0.25">
      <c r="A15" s="92" t="s">
        <v>244</v>
      </c>
      <c r="B15" s="99" t="s">
        <v>237</v>
      </c>
      <c r="C15" s="97" t="s">
        <v>397</v>
      </c>
      <c r="D15" s="92"/>
      <c r="E15" s="97" t="str">
        <f>IFERROR(VLOOKUP(D15,Table1[],2,FALSE),"")</f>
        <v/>
      </c>
      <c r="F15" s="163"/>
      <c r="G15" s="164"/>
      <c r="H15" s="165"/>
      <c r="I15" s="166">
        <f t="shared" si="0"/>
        <v>0</v>
      </c>
      <c r="J15" s="166">
        <f t="shared" si="8"/>
        <v>0</v>
      </c>
      <c r="K15" s="166">
        <f>+Table3[[#This Row],[Cost]]</f>
        <v>0</v>
      </c>
      <c r="L15" s="166"/>
      <c r="M15" s="166"/>
      <c r="N15" s="167"/>
      <c r="O15" s="163"/>
      <c r="P15" s="163"/>
      <c r="Q15" s="168" t="s">
        <v>352</v>
      </c>
      <c r="R15" s="163"/>
      <c r="S15" s="164">
        <f t="shared" si="9"/>
        <v>0</v>
      </c>
      <c r="T15" s="164">
        <f t="shared" si="2"/>
        <v>0</v>
      </c>
      <c r="U15" s="164">
        <f t="shared" si="10"/>
        <v>0</v>
      </c>
      <c r="V15" s="169">
        <f t="shared" si="11"/>
        <v>0</v>
      </c>
      <c r="W15" s="169">
        <f t="shared" si="12"/>
        <v>0</v>
      </c>
      <c r="X15" s="169">
        <f t="shared" si="13"/>
        <v>0</v>
      </c>
      <c r="Y15" s="164"/>
      <c r="Z15" s="164"/>
      <c r="AA15" s="164">
        <f t="shared" si="14"/>
        <v>1</v>
      </c>
      <c r="AB15" s="170">
        <f t="shared" si="3"/>
        <v>0</v>
      </c>
      <c r="AC15" s="170">
        <f t="shared" si="4"/>
        <v>0</v>
      </c>
      <c r="AD15" s="170">
        <f t="shared" si="5"/>
        <v>0</v>
      </c>
      <c r="AE15" s="92"/>
      <c r="AF15" s="92"/>
      <c r="AG15" s="92"/>
      <c r="AH15" s="92"/>
      <c r="AI15" s="92"/>
      <c r="AJ15" s="92"/>
      <c r="AK15" s="92"/>
      <c r="AL15" s="92"/>
      <c r="AM15" s="119"/>
      <c r="AN15" s="119"/>
      <c r="AO15" s="119"/>
      <c r="AP15" s="119"/>
      <c r="AQ15" s="119"/>
      <c r="AR15" s="119"/>
      <c r="AS15" s="117"/>
      <c r="AT15" s="117"/>
      <c r="AU15" s="117"/>
      <c r="AV15" s="117"/>
      <c r="AW15" s="117"/>
      <c r="AX15" s="117"/>
      <c r="AY15" s="117"/>
      <c r="AZ15" s="77"/>
      <c r="BA15" s="77"/>
      <c r="BB15" s="77"/>
      <c r="BC15" s="77"/>
    </row>
    <row r="16" spans="1:55" s="104" customFormat="1" ht="12.6" customHeight="1" x14ac:dyDescent="0.25">
      <c r="A16" s="97">
        <v>1</v>
      </c>
      <c r="B16" s="103" t="s">
        <v>434</v>
      </c>
      <c r="C16" s="97" t="s">
        <v>397</v>
      </c>
      <c r="D16" s="97" t="s">
        <v>27</v>
      </c>
      <c r="E16" s="97" t="str">
        <f>IFERROR(VLOOKUP(D16,Table1[],2,FALSE),"")</f>
        <v>units</v>
      </c>
      <c r="F16" s="168">
        <v>1</v>
      </c>
      <c r="G16" s="171">
        <v>7000000</v>
      </c>
      <c r="H16" s="172">
        <v>0.75</v>
      </c>
      <c r="I16" s="166">
        <f t="shared" si="0"/>
        <v>82886.011998736969</v>
      </c>
      <c r="J16" s="166">
        <f t="shared" si="8"/>
        <v>91174.613198610663</v>
      </c>
      <c r="K16" s="166">
        <f>+Table3[[#This Row],[Cost]]</f>
        <v>82886.011998736969</v>
      </c>
      <c r="L16" s="166">
        <f>+Table3[[#This Row],[CRI Financing (US$)]]*0.1</f>
        <v>8288.6011998736976</v>
      </c>
      <c r="M16" s="166"/>
      <c r="N16" s="167" t="s">
        <v>241</v>
      </c>
      <c r="O16" s="168"/>
      <c r="P16" s="168"/>
      <c r="Q16" s="168" t="s">
        <v>352</v>
      </c>
      <c r="R16" s="173" t="s">
        <v>371</v>
      </c>
      <c r="S16" s="164">
        <f t="shared" si="9"/>
        <v>0.90909090909090917</v>
      </c>
      <c r="T16" s="164">
        <f t="shared" si="2"/>
        <v>9.0909090909090925E-2</v>
      </c>
      <c r="U16" s="164">
        <f t="shared" si="10"/>
        <v>0</v>
      </c>
      <c r="V16" s="169">
        <f t="shared" si="11"/>
        <v>82886.011998736969</v>
      </c>
      <c r="W16" s="169">
        <f t="shared" si="12"/>
        <v>8288.6011998736976</v>
      </c>
      <c r="X16" s="169">
        <f t="shared" si="13"/>
        <v>0</v>
      </c>
      <c r="Y16" s="171"/>
      <c r="Z16" s="171">
        <v>1</v>
      </c>
      <c r="AA16" s="164">
        <f t="shared" si="14"/>
        <v>0</v>
      </c>
      <c r="AB16" s="170">
        <f t="shared" si="3"/>
        <v>0</v>
      </c>
      <c r="AC16" s="170">
        <f t="shared" si="4"/>
        <v>82886.011998736969</v>
      </c>
      <c r="AD16" s="170">
        <f t="shared" si="5"/>
        <v>0</v>
      </c>
      <c r="AE16" s="97"/>
      <c r="AF16" s="97"/>
      <c r="AG16" s="97"/>
      <c r="AH16" s="97"/>
      <c r="AI16" s="97"/>
      <c r="AJ16" s="97"/>
      <c r="AK16" s="97"/>
      <c r="AL16" s="97"/>
      <c r="AM16" s="117"/>
      <c r="AN16" s="117"/>
      <c r="AO16" s="117"/>
      <c r="AP16" s="117"/>
      <c r="AQ16" s="117"/>
      <c r="AR16" s="117"/>
      <c r="AS16" s="117"/>
      <c r="AT16" s="117"/>
      <c r="AU16" s="117"/>
      <c r="AV16" s="117"/>
      <c r="AW16" s="117"/>
      <c r="AX16" s="117">
        <v>5000000</v>
      </c>
      <c r="AY16" s="117"/>
      <c r="AZ16" s="77"/>
      <c r="BA16" s="77"/>
      <c r="BB16" s="77"/>
      <c r="BC16" s="77"/>
    </row>
    <row r="17" spans="1:55" s="104" customFormat="1" ht="12.6" customHeight="1" x14ac:dyDescent="0.25">
      <c r="A17" s="97">
        <v>2</v>
      </c>
      <c r="B17" s="103" t="s">
        <v>401</v>
      </c>
      <c r="C17" s="97" t="s">
        <v>397</v>
      </c>
      <c r="D17" s="97" t="s">
        <v>28</v>
      </c>
      <c r="E17" s="97" t="str">
        <f>IFERROR(VLOOKUP(D17,Table1[],2,FALSE),"")</f>
        <v>kg</v>
      </c>
      <c r="F17" s="168">
        <v>1</v>
      </c>
      <c r="G17" s="171">
        <f>+G6*800</f>
        <v>160000</v>
      </c>
      <c r="H17" s="172">
        <v>25</v>
      </c>
      <c r="I17" s="166">
        <f t="shared" si="0"/>
        <v>63151.247237132928</v>
      </c>
      <c r="J17" s="166">
        <f t="shared" si="8"/>
        <v>75781.496684559519</v>
      </c>
      <c r="K17" s="166">
        <f>+Table3[[#This Row],[Cost]]</f>
        <v>63151.247237132928</v>
      </c>
      <c r="L17" s="166">
        <f>+Table3[[#This Row],[CRI Financing (US$)]]*0.2</f>
        <v>12630.249447426586</v>
      </c>
      <c r="M17" s="166"/>
      <c r="N17" s="167" t="s">
        <v>241</v>
      </c>
      <c r="O17" s="168"/>
      <c r="P17" s="168"/>
      <c r="Q17" s="168" t="s">
        <v>352</v>
      </c>
      <c r="R17" s="173" t="s">
        <v>371</v>
      </c>
      <c r="S17" s="164">
        <f t="shared" si="9"/>
        <v>0.83333333333333326</v>
      </c>
      <c r="T17" s="164">
        <f t="shared" si="2"/>
        <v>0.16666666666666666</v>
      </c>
      <c r="U17" s="164">
        <f t="shared" si="10"/>
        <v>0</v>
      </c>
      <c r="V17" s="169">
        <f t="shared" si="11"/>
        <v>63151.247237132928</v>
      </c>
      <c r="W17" s="169">
        <f t="shared" si="12"/>
        <v>12630.249447426586</v>
      </c>
      <c r="X17" s="169">
        <f t="shared" si="13"/>
        <v>0</v>
      </c>
      <c r="Y17" s="171"/>
      <c r="Z17" s="171">
        <v>1</v>
      </c>
      <c r="AA17" s="164">
        <f t="shared" si="14"/>
        <v>0</v>
      </c>
      <c r="AB17" s="170">
        <f t="shared" si="3"/>
        <v>0</v>
      </c>
      <c r="AC17" s="170">
        <f t="shared" si="4"/>
        <v>63151.247237132928</v>
      </c>
      <c r="AD17" s="170">
        <f t="shared" si="5"/>
        <v>0</v>
      </c>
      <c r="AE17" s="97"/>
      <c r="AF17" s="97"/>
      <c r="AG17" s="97"/>
      <c r="AH17" s="97"/>
      <c r="AI17" s="97"/>
      <c r="AJ17" s="97"/>
      <c r="AK17" s="97"/>
      <c r="AL17" s="97"/>
      <c r="AM17" s="117"/>
      <c r="AN17" s="117"/>
      <c r="AO17" s="117"/>
      <c r="AP17" s="117"/>
      <c r="AQ17" s="117"/>
      <c r="AR17" s="117"/>
      <c r="AS17" s="117"/>
      <c r="AT17" s="117"/>
      <c r="AU17" s="117"/>
      <c r="AV17" s="117"/>
      <c r="AW17" s="117"/>
      <c r="AX17" s="117"/>
      <c r="AY17" s="117">
        <v>3000000</v>
      </c>
      <c r="AZ17" s="77"/>
      <c r="BA17" s="77"/>
      <c r="BB17" s="77"/>
      <c r="BC17" s="77"/>
    </row>
    <row r="18" spans="1:55" s="104" customFormat="1" ht="12.6" customHeight="1" x14ac:dyDescent="0.25">
      <c r="A18" s="97">
        <v>3</v>
      </c>
      <c r="B18" s="103" t="s">
        <v>402</v>
      </c>
      <c r="C18" s="97" t="s">
        <v>397</v>
      </c>
      <c r="D18" s="97" t="s">
        <v>28</v>
      </c>
      <c r="E18" s="97" t="str">
        <f>IFERROR(VLOOKUP(D18,Table1[],2,FALSE),"")</f>
        <v>kg</v>
      </c>
      <c r="F18" s="168">
        <v>1</v>
      </c>
      <c r="G18" s="171">
        <f>+G8*15</f>
        <v>37500</v>
      </c>
      <c r="H18" s="172">
        <v>50</v>
      </c>
      <c r="I18" s="166">
        <f t="shared" si="0"/>
        <v>29602.147142406062</v>
      </c>
      <c r="J18" s="166">
        <f t="shared" si="8"/>
        <v>38482.791285127882</v>
      </c>
      <c r="K18" s="166">
        <f>+Table3[[#This Row],[Cost]]</f>
        <v>29602.147142406062</v>
      </c>
      <c r="L18" s="166">
        <f>+Table3[[#This Row],[CRI Financing (US$)]]*0.2</f>
        <v>5920.4294284812131</v>
      </c>
      <c r="M18" s="166">
        <f>+Table3[[#This Row],[CRI Financing (US$)]]*0.1</f>
        <v>2960.2147142406066</v>
      </c>
      <c r="N18" s="167" t="s">
        <v>241</v>
      </c>
      <c r="O18" s="168"/>
      <c r="P18" s="168"/>
      <c r="Q18" s="168" t="s">
        <v>352</v>
      </c>
      <c r="R18" s="173" t="s">
        <v>371</v>
      </c>
      <c r="S18" s="164">
        <f t="shared" si="9"/>
        <v>0.76923076923076916</v>
      </c>
      <c r="T18" s="164">
        <f t="shared" si="2"/>
        <v>0.15384615384615385</v>
      </c>
      <c r="U18" s="164">
        <f t="shared" si="10"/>
        <v>7.6923076923076927E-2</v>
      </c>
      <c r="V18" s="169">
        <f t="shared" si="11"/>
        <v>29602.147142406062</v>
      </c>
      <c r="W18" s="169">
        <f t="shared" si="12"/>
        <v>5920.4294284812131</v>
      </c>
      <c r="X18" s="169">
        <f t="shared" si="13"/>
        <v>2960.2147142406066</v>
      </c>
      <c r="Y18" s="171"/>
      <c r="Z18" s="171">
        <v>1</v>
      </c>
      <c r="AA18" s="164">
        <f t="shared" si="14"/>
        <v>0</v>
      </c>
      <c r="AB18" s="170">
        <f t="shared" si="3"/>
        <v>0</v>
      </c>
      <c r="AC18" s="170">
        <f t="shared" si="4"/>
        <v>29602.147142406062</v>
      </c>
      <c r="AD18" s="170">
        <f t="shared" si="5"/>
        <v>0</v>
      </c>
      <c r="AE18" s="97"/>
      <c r="AF18" s="97"/>
      <c r="AG18" s="97"/>
      <c r="AH18" s="97"/>
      <c r="AI18" s="97"/>
      <c r="AJ18" s="97"/>
      <c r="AK18" s="97"/>
      <c r="AL18" s="97"/>
      <c r="AM18" s="117"/>
      <c r="AN18" s="117"/>
      <c r="AO18" s="117"/>
      <c r="AP18" s="117"/>
      <c r="AQ18" s="117"/>
      <c r="AR18" s="117"/>
      <c r="AS18" s="117"/>
      <c r="AT18" s="117"/>
      <c r="AU18" s="117"/>
      <c r="AV18" s="117"/>
      <c r="AW18" s="117">
        <f>+Table3[[#This Row],[Quantity]]/2</f>
        <v>18750</v>
      </c>
      <c r="AX18" s="117">
        <f>+Table3[[#This Row],[ Jun]]</f>
        <v>18750</v>
      </c>
      <c r="AY18" s="117"/>
      <c r="AZ18" s="77"/>
      <c r="BA18" s="77"/>
      <c r="BB18" s="77"/>
      <c r="BC18" s="77"/>
    </row>
    <row r="19" spans="1:55" s="104" customFormat="1" ht="12.6" customHeight="1" x14ac:dyDescent="0.25">
      <c r="A19" s="97"/>
      <c r="B19" s="103"/>
      <c r="C19" s="97"/>
      <c r="D19" s="97"/>
      <c r="E19" s="97" t="str">
        <f>IFERROR(VLOOKUP(D19,Table1[],2,FALSE),"")</f>
        <v/>
      </c>
      <c r="F19" s="168">
        <v>1</v>
      </c>
      <c r="G19" s="171"/>
      <c r="H19" s="172"/>
      <c r="I19" s="166">
        <f t="shared" si="0"/>
        <v>0</v>
      </c>
      <c r="J19" s="166">
        <f t="shared" si="8"/>
        <v>0</v>
      </c>
      <c r="K19" s="166">
        <f>+Table3[[#This Row],[Cost]]</f>
        <v>0</v>
      </c>
      <c r="L19" s="166"/>
      <c r="M19" s="166"/>
      <c r="N19" s="167"/>
      <c r="O19" s="168"/>
      <c r="P19" s="168"/>
      <c r="Q19" s="168" t="s">
        <v>352</v>
      </c>
      <c r="R19" s="168"/>
      <c r="S19" s="164">
        <f t="shared" si="9"/>
        <v>0</v>
      </c>
      <c r="T19" s="164">
        <f t="shared" si="2"/>
        <v>0</v>
      </c>
      <c r="U19" s="164">
        <f t="shared" si="10"/>
        <v>0</v>
      </c>
      <c r="V19" s="169">
        <f t="shared" si="11"/>
        <v>0</v>
      </c>
      <c r="W19" s="169">
        <f t="shared" si="12"/>
        <v>0</v>
      </c>
      <c r="X19" s="169">
        <f t="shared" si="13"/>
        <v>0</v>
      </c>
      <c r="Y19" s="171"/>
      <c r="Z19" s="171"/>
      <c r="AA19" s="164">
        <f t="shared" si="14"/>
        <v>1</v>
      </c>
      <c r="AB19" s="170">
        <f t="shared" si="3"/>
        <v>0</v>
      </c>
      <c r="AC19" s="170">
        <f t="shared" si="4"/>
        <v>0</v>
      </c>
      <c r="AD19" s="170">
        <f t="shared" si="5"/>
        <v>0</v>
      </c>
      <c r="AE19" s="97"/>
      <c r="AF19" s="97"/>
      <c r="AG19" s="97"/>
      <c r="AH19" s="97"/>
      <c r="AI19" s="97"/>
      <c r="AJ19" s="97"/>
      <c r="AK19" s="97"/>
      <c r="AL19" s="97"/>
      <c r="AM19" s="117"/>
      <c r="AN19" s="117"/>
      <c r="AO19" s="117"/>
      <c r="AP19" s="117"/>
      <c r="AQ19" s="117"/>
      <c r="AR19" s="117"/>
      <c r="AS19" s="117"/>
      <c r="AT19" s="117"/>
      <c r="AU19" s="117"/>
      <c r="AV19" s="117"/>
      <c r="AW19" s="117"/>
      <c r="AX19" s="117"/>
      <c r="AY19" s="117"/>
      <c r="AZ19" s="77"/>
      <c r="BA19" s="77"/>
      <c r="BB19" s="77"/>
      <c r="BC19" s="77"/>
    </row>
    <row r="20" spans="1:55" s="104" customFormat="1" ht="12.6" customHeight="1" x14ac:dyDescent="0.25">
      <c r="A20" s="92" t="s">
        <v>245</v>
      </c>
      <c r="B20" s="99" t="s">
        <v>239</v>
      </c>
      <c r="C20" s="97" t="s">
        <v>397</v>
      </c>
      <c r="D20" s="92"/>
      <c r="E20" s="97" t="str">
        <f>IFERROR(VLOOKUP(D20,Table1[],2,FALSE),"")</f>
        <v/>
      </c>
      <c r="F20" s="163"/>
      <c r="G20" s="164"/>
      <c r="H20" s="165"/>
      <c r="I20" s="166">
        <f t="shared" si="0"/>
        <v>0</v>
      </c>
      <c r="J20" s="166">
        <f t="shared" si="8"/>
        <v>0</v>
      </c>
      <c r="K20" s="166">
        <f>+Table3[[#This Row],[Cost]]</f>
        <v>0</v>
      </c>
      <c r="L20" s="166"/>
      <c r="M20" s="166"/>
      <c r="N20" s="167"/>
      <c r="O20" s="168"/>
      <c r="P20" s="168"/>
      <c r="Q20" s="168" t="s">
        <v>352</v>
      </c>
      <c r="R20" s="168"/>
      <c r="S20" s="164">
        <f t="shared" si="9"/>
        <v>0</v>
      </c>
      <c r="T20" s="164">
        <f t="shared" si="2"/>
        <v>0</v>
      </c>
      <c r="U20" s="164">
        <f t="shared" si="10"/>
        <v>0</v>
      </c>
      <c r="V20" s="169">
        <f t="shared" si="11"/>
        <v>0</v>
      </c>
      <c r="W20" s="169">
        <f t="shared" si="12"/>
        <v>0</v>
      </c>
      <c r="X20" s="169">
        <f t="shared" si="13"/>
        <v>0</v>
      </c>
      <c r="Y20" s="171"/>
      <c r="Z20" s="171"/>
      <c r="AA20" s="164">
        <f t="shared" si="14"/>
        <v>1</v>
      </c>
      <c r="AB20" s="170">
        <f t="shared" si="3"/>
        <v>0</v>
      </c>
      <c r="AC20" s="170">
        <f t="shared" si="4"/>
        <v>0</v>
      </c>
      <c r="AD20" s="170">
        <f t="shared" si="5"/>
        <v>0</v>
      </c>
      <c r="AE20" s="97"/>
      <c r="AF20" s="97"/>
      <c r="AG20" s="97"/>
      <c r="AH20" s="97"/>
      <c r="AI20" s="97"/>
      <c r="AJ20" s="97"/>
      <c r="AK20" s="97"/>
      <c r="AL20" s="97"/>
      <c r="AM20" s="117"/>
      <c r="AN20" s="117"/>
      <c r="AO20" s="117"/>
      <c r="AP20" s="117"/>
      <c r="AQ20" s="117"/>
      <c r="AR20" s="117"/>
      <c r="AS20" s="117"/>
      <c r="AT20" s="117"/>
      <c r="AU20" s="117"/>
      <c r="AV20" s="117"/>
      <c r="AW20" s="117"/>
      <c r="AX20" s="117"/>
      <c r="AY20" s="117"/>
      <c r="AZ20" s="77"/>
      <c r="BA20" s="77"/>
      <c r="BB20" s="77"/>
      <c r="BC20" s="77"/>
    </row>
    <row r="21" spans="1:55" s="104" customFormat="1" ht="12.6" customHeight="1" x14ac:dyDescent="0.25">
      <c r="A21" s="228">
        <v>1</v>
      </c>
      <c r="B21" s="229" t="s">
        <v>403</v>
      </c>
      <c r="C21" s="228" t="s">
        <v>397</v>
      </c>
      <c r="D21" s="228" t="s">
        <v>13</v>
      </c>
      <c r="E21" s="228" t="str">
        <f>IFERROR(VLOOKUP(D21,Table1[],2,FALSE),"")</f>
        <v>households</v>
      </c>
      <c r="F21" s="230">
        <v>1</v>
      </c>
      <c r="G21" s="242">
        <v>2000</v>
      </c>
      <c r="H21" s="232">
        <f>+H7</f>
        <v>5000</v>
      </c>
      <c r="I21" s="233">
        <f t="shared" si="0"/>
        <v>157878.11809283233</v>
      </c>
      <c r="J21" s="233">
        <f t="shared" si="8"/>
        <v>181559.83580675718</v>
      </c>
      <c r="K21" s="233">
        <f>+Table3[[#This Row],[Cost]]</f>
        <v>157878.11809283233</v>
      </c>
      <c r="L21" s="233">
        <f>+I21*0.1</f>
        <v>15787.811809283234</v>
      </c>
      <c r="M21" s="233">
        <f>+I21*0.05</f>
        <v>7893.9059046416169</v>
      </c>
      <c r="N21" s="234" t="s">
        <v>241</v>
      </c>
      <c r="O21" s="230"/>
      <c r="P21" s="230"/>
      <c r="Q21" s="230" t="s">
        <v>352</v>
      </c>
      <c r="R21" s="235" t="s">
        <v>371</v>
      </c>
      <c r="S21" s="236">
        <f t="shared" si="9"/>
        <v>0.86956521739130432</v>
      </c>
      <c r="T21" s="236">
        <f t="shared" si="2"/>
        <v>8.6956521739130432E-2</v>
      </c>
      <c r="U21" s="236">
        <f t="shared" si="10"/>
        <v>4.3478260869565216E-2</v>
      </c>
      <c r="V21" s="237">
        <f t="shared" si="11"/>
        <v>157878.11809283233</v>
      </c>
      <c r="W21" s="237">
        <f t="shared" si="12"/>
        <v>15787.811809283232</v>
      </c>
      <c r="X21" s="237">
        <f t="shared" si="13"/>
        <v>7893.905904641616</v>
      </c>
      <c r="Y21" s="231"/>
      <c r="Z21" s="231">
        <v>1</v>
      </c>
      <c r="AA21" s="236">
        <f t="shared" si="14"/>
        <v>0</v>
      </c>
      <c r="AB21" s="238">
        <f t="shared" si="3"/>
        <v>0</v>
      </c>
      <c r="AC21" s="238">
        <f t="shared" si="4"/>
        <v>157878.11809283233</v>
      </c>
      <c r="AD21" s="238">
        <f t="shared" si="5"/>
        <v>0</v>
      </c>
      <c r="AE21" s="228"/>
      <c r="AF21" s="228"/>
      <c r="AG21" s="228"/>
      <c r="AH21" s="228"/>
      <c r="AI21" s="228"/>
      <c r="AJ21" s="228"/>
      <c r="AK21" s="228"/>
      <c r="AL21" s="228"/>
      <c r="AM21" s="239"/>
      <c r="AN21" s="239"/>
      <c r="AO21" s="239"/>
      <c r="AP21" s="239"/>
      <c r="AQ21" s="239"/>
      <c r="AR21" s="239"/>
      <c r="AS21" s="239"/>
      <c r="AT21" s="239"/>
      <c r="AU21" s="239"/>
      <c r="AV21" s="239"/>
      <c r="AW21" s="239">
        <f>+Table3[[#This Row],[Quantity]]/2</f>
        <v>1000</v>
      </c>
      <c r="AX21" s="239">
        <f>+Table3[[#This Row],[ Jun]]</f>
        <v>1000</v>
      </c>
      <c r="AY21" s="239"/>
      <c r="AZ21" s="240"/>
      <c r="BA21" s="240"/>
      <c r="BB21" s="240"/>
      <c r="BC21" s="240"/>
    </row>
    <row r="22" spans="1:55" s="104" customFormat="1" ht="12.6" customHeight="1" x14ac:dyDescent="0.25">
      <c r="A22" s="228">
        <v>2</v>
      </c>
      <c r="B22" s="229" t="s">
        <v>406</v>
      </c>
      <c r="C22" s="228" t="s">
        <v>397</v>
      </c>
      <c r="D22" s="228" t="s">
        <v>13</v>
      </c>
      <c r="E22" s="228" t="str">
        <f>IFERROR(VLOOKUP(D22,Table1[],2,FALSE),"")</f>
        <v>households</v>
      </c>
      <c r="F22" s="230">
        <v>1</v>
      </c>
      <c r="G22" s="242">
        <v>200</v>
      </c>
      <c r="H22" s="232">
        <v>40000</v>
      </c>
      <c r="I22" s="233">
        <f t="shared" si="0"/>
        <v>126302.49447426586</v>
      </c>
      <c r="J22" s="233">
        <f t="shared" si="8"/>
        <v>145247.86864540575</v>
      </c>
      <c r="K22" s="233">
        <f>+Table3[[#This Row],[Cost]]</f>
        <v>126302.49447426586</v>
      </c>
      <c r="L22" s="233">
        <f t="shared" ref="L22:L23" si="15">+I22*0.1</f>
        <v>12630.249447426586</v>
      </c>
      <c r="M22" s="233">
        <f>+I22*0.05</f>
        <v>6315.124723713293</v>
      </c>
      <c r="N22" s="234" t="s">
        <v>241</v>
      </c>
      <c r="O22" s="230"/>
      <c r="P22" s="230"/>
      <c r="Q22" s="230" t="s">
        <v>352</v>
      </c>
      <c r="R22" s="235" t="s">
        <v>371</v>
      </c>
      <c r="S22" s="236">
        <f t="shared" si="9"/>
        <v>0.86956521739130432</v>
      </c>
      <c r="T22" s="236">
        <f t="shared" si="2"/>
        <v>8.6956521739130432E-2</v>
      </c>
      <c r="U22" s="236">
        <f t="shared" si="10"/>
        <v>4.3478260869565216E-2</v>
      </c>
      <c r="V22" s="237">
        <f t="shared" si="11"/>
        <v>126302.49447426586</v>
      </c>
      <c r="W22" s="237">
        <f t="shared" si="12"/>
        <v>12630.249447426586</v>
      </c>
      <c r="X22" s="237">
        <f t="shared" si="13"/>
        <v>6315.124723713293</v>
      </c>
      <c r="Y22" s="231"/>
      <c r="Z22" s="231">
        <v>1</v>
      </c>
      <c r="AA22" s="236">
        <f t="shared" si="14"/>
        <v>0</v>
      </c>
      <c r="AB22" s="238">
        <f t="shared" si="3"/>
        <v>0</v>
      </c>
      <c r="AC22" s="238">
        <f t="shared" si="4"/>
        <v>126302.49447426586</v>
      </c>
      <c r="AD22" s="238">
        <f t="shared" si="5"/>
        <v>0</v>
      </c>
      <c r="AE22" s="228"/>
      <c r="AF22" s="228"/>
      <c r="AG22" s="228"/>
      <c r="AH22" s="228"/>
      <c r="AI22" s="228"/>
      <c r="AJ22" s="228"/>
      <c r="AK22" s="228"/>
      <c r="AL22" s="228"/>
      <c r="AM22" s="239"/>
      <c r="AN22" s="239"/>
      <c r="AO22" s="239"/>
      <c r="AP22" s="239"/>
      <c r="AQ22" s="239"/>
      <c r="AR22" s="239"/>
      <c r="AS22" s="239"/>
      <c r="AT22" s="239">
        <f>+Table3[[#This Row],[Quantity]]</f>
        <v>200</v>
      </c>
      <c r="AU22" s="239"/>
      <c r="AV22" s="239"/>
      <c r="AW22" s="239"/>
      <c r="AX22" s="239"/>
      <c r="AY22" s="239"/>
      <c r="AZ22" s="240"/>
      <c r="BA22" s="240"/>
      <c r="BB22" s="240"/>
      <c r="BC22" s="240"/>
    </row>
    <row r="23" spans="1:55" s="104" customFormat="1" ht="12.6" customHeight="1" x14ac:dyDescent="0.25">
      <c r="A23" s="228">
        <v>3</v>
      </c>
      <c r="B23" s="229" t="s">
        <v>405</v>
      </c>
      <c r="C23" s="228" t="s">
        <v>397</v>
      </c>
      <c r="D23" s="228" t="s">
        <v>13</v>
      </c>
      <c r="E23" s="228" t="str">
        <f>IFERROR(VLOOKUP(D23,Table1[],2,FALSE),"")</f>
        <v>households</v>
      </c>
      <c r="F23" s="230">
        <v>1</v>
      </c>
      <c r="G23" s="242">
        <f>+G8*0.6</f>
        <v>1500</v>
      </c>
      <c r="H23" s="232">
        <f>+H8</f>
        <v>6000</v>
      </c>
      <c r="I23" s="233">
        <f t="shared" si="0"/>
        <v>142090.30628354909</v>
      </c>
      <c r="J23" s="233">
        <f t="shared" si="8"/>
        <v>163403.85222608145</v>
      </c>
      <c r="K23" s="233">
        <f>+Table3[[#This Row],[Cost]]</f>
        <v>142090.30628354909</v>
      </c>
      <c r="L23" s="233">
        <f t="shared" si="15"/>
        <v>14209.030628354909</v>
      </c>
      <c r="M23" s="233">
        <f>+I23*0.05</f>
        <v>7104.5153141774545</v>
      </c>
      <c r="N23" s="234" t="s">
        <v>241</v>
      </c>
      <c r="O23" s="230"/>
      <c r="P23" s="230"/>
      <c r="Q23" s="230" t="s">
        <v>352</v>
      </c>
      <c r="R23" s="235" t="s">
        <v>371</v>
      </c>
      <c r="S23" s="236">
        <f t="shared" si="9"/>
        <v>0.86956521739130432</v>
      </c>
      <c r="T23" s="236">
        <f t="shared" si="2"/>
        <v>8.6956521739130432E-2</v>
      </c>
      <c r="U23" s="236">
        <f t="shared" si="10"/>
        <v>4.3478260869565216E-2</v>
      </c>
      <c r="V23" s="237">
        <f t="shared" si="11"/>
        <v>142090.30628354909</v>
      </c>
      <c r="W23" s="237">
        <f t="shared" si="12"/>
        <v>14209.030628354909</v>
      </c>
      <c r="X23" s="237">
        <f t="shared" si="13"/>
        <v>7104.5153141774545</v>
      </c>
      <c r="Y23" s="231"/>
      <c r="Z23" s="231">
        <v>1</v>
      </c>
      <c r="AA23" s="236">
        <f t="shared" si="14"/>
        <v>0</v>
      </c>
      <c r="AB23" s="238">
        <f t="shared" si="3"/>
        <v>0</v>
      </c>
      <c r="AC23" s="238">
        <f t="shared" si="4"/>
        <v>142090.30628354909</v>
      </c>
      <c r="AD23" s="238">
        <f t="shared" si="5"/>
        <v>0</v>
      </c>
      <c r="AE23" s="228"/>
      <c r="AF23" s="228"/>
      <c r="AG23" s="228"/>
      <c r="AH23" s="228"/>
      <c r="AI23" s="228"/>
      <c r="AJ23" s="228"/>
      <c r="AK23" s="228"/>
      <c r="AL23" s="228"/>
      <c r="AM23" s="239"/>
      <c r="AN23" s="239"/>
      <c r="AO23" s="239"/>
      <c r="AP23" s="239"/>
      <c r="AQ23" s="239"/>
      <c r="AR23" s="239"/>
      <c r="AS23" s="239"/>
      <c r="AT23" s="239">
        <f>+Table3[[#This Row],[Quantity]]</f>
        <v>1500</v>
      </c>
      <c r="AU23" s="239"/>
      <c r="AV23" s="239"/>
      <c r="AW23" s="239"/>
      <c r="AX23" s="239"/>
      <c r="AY23" s="239"/>
      <c r="AZ23" s="240"/>
      <c r="BA23" s="240"/>
      <c r="BB23" s="240"/>
      <c r="BC23" s="240"/>
    </row>
    <row r="24" spans="1:55" s="104" customFormat="1" ht="12.6" customHeight="1" x14ac:dyDescent="0.25">
      <c r="A24" s="97"/>
      <c r="B24" s="103"/>
      <c r="C24" s="97"/>
      <c r="D24" s="97"/>
      <c r="E24" s="97" t="str">
        <f>IFERROR(VLOOKUP(D24,Table1[],2,FALSE),"")</f>
        <v/>
      </c>
      <c r="F24" s="168"/>
      <c r="G24" s="171"/>
      <c r="H24" s="172"/>
      <c r="I24" s="166">
        <f>+H24*G24*F24/63.34</f>
        <v>0</v>
      </c>
      <c r="J24" s="166">
        <f>+I24+L24+M24</f>
        <v>0</v>
      </c>
      <c r="K24" s="166">
        <f>+Table3[[#This Row],[Cost]]</f>
        <v>0</v>
      </c>
      <c r="L24" s="166"/>
      <c r="M24" s="166"/>
      <c r="N24" s="167"/>
      <c r="O24" s="168"/>
      <c r="P24" s="168"/>
      <c r="Q24" s="168"/>
      <c r="R24" s="173"/>
      <c r="S24" s="164">
        <f>IFERROR(+I24/$J24,0)</f>
        <v>0</v>
      </c>
      <c r="T24" s="164">
        <f>IFERROR(+L24/$J24,0)</f>
        <v>0</v>
      </c>
      <c r="U24" s="164">
        <f>IFERROR(M24/J24,0)</f>
        <v>0</v>
      </c>
      <c r="V24" s="169">
        <f>+S24*J24</f>
        <v>0</v>
      </c>
      <c r="W24" s="169">
        <f>+T24*J24</f>
        <v>0</v>
      </c>
      <c r="X24" s="169">
        <f>+J24*U24</f>
        <v>0</v>
      </c>
      <c r="Y24" s="171"/>
      <c r="Z24" s="171"/>
      <c r="AA24" s="164">
        <f>1-Y24-Z24</f>
        <v>1</v>
      </c>
      <c r="AB24" s="170">
        <f t="shared" ref="AB24:AD25" si="16">+Y24*$I24</f>
        <v>0</v>
      </c>
      <c r="AC24" s="170">
        <f t="shared" si="16"/>
        <v>0</v>
      </c>
      <c r="AD24" s="170">
        <f t="shared" si="16"/>
        <v>0</v>
      </c>
      <c r="AE24" s="97"/>
      <c r="AF24" s="97"/>
      <c r="AG24" s="97"/>
      <c r="AH24" s="97"/>
      <c r="AI24" s="97"/>
      <c r="AJ24" s="97"/>
      <c r="AK24" s="97"/>
      <c r="AL24" s="97"/>
      <c r="AM24" s="117"/>
      <c r="AN24" s="117"/>
      <c r="AO24" s="117"/>
      <c r="AP24" s="117"/>
      <c r="AQ24" s="117"/>
      <c r="AR24" s="117"/>
      <c r="AS24" s="117">
        <f>ROUND(+Table3[[#This Row],[Quantity]]/4,0)</f>
        <v>0</v>
      </c>
      <c r="AT24" s="117"/>
      <c r="AU24" s="117"/>
      <c r="AV24" s="117"/>
      <c r="AW24" s="117"/>
      <c r="AX24" s="117"/>
      <c r="AY24" s="117"/>
      <c r="AZ24" s="77"/>
      <c r="BA24" s="77"/>
      <c r="BB24" s="77"/>
      <c r="BC24" s="77"/>
    </row>
    <row r="25" spans="1:55" s="104" customFormat="1" ht="15.4" customHeight="1" x14ac:dyDescent="0.25">
      <c r="A25" s="92" t="s">
        <v>243</v>
      </c>
      <c r="B25" s="99" t="s">
        <v>454</v>
      </c>
      <c r="C25" s="97"/>
      <c r="D25" s="97"/>
      <c r="E25" s="97" t="str">
        <f>IFERROR(VLOOKUP(D25,Table1[],2,FALSE),"")</f>
        <v/>
      </c>
      <c r="F25" s="168"/>
      <c r="G25" s="171"/>
      <c r="H25" s="172"/>
      <c r="I25" s="166">
        <f>+H25*G25*F25/63.34</f>
        <v>0</v>
      </c>
      <c r="J25" s="166">
        <f>+I25+L25+M25</f>
        <v>0</v>
      </c>
      <c r="K25" s="166">
        <f>+Table3[[#This Row],[Cost]]</f>
        <v>0</v>
      </c>
      <c r="L25" s="166"/>
      <c r="M25" s="166"/>
      <c r="N25" s="167"/>
      <c r="O25" s="168"/>
      <c r="P25" s="168"/>
      <c r="Q25" s="168"/>
      <c r="R25" s="173"/>
      <c r="S25" s="164">
        <f>IFERROR(+I25/$J25,0)</f>
        <v>0</v>
      </c>
      <c r="T25" s="164">
        <f>IFERROR(+L25/$J25,0)</f>
        <v>0</v>
      </c>
      <c r="U25" s="164">
        <f>IFERROR(M25/J25,0)</f>
        <v>0</v>
      </c>
      <c r="V25" s="169">
        <f>+S25*J25</f>
        <v>0</v>
      </c>
      <c r="W25" s="169">
        <f>+T25*J25</f>
        <v>0</v>
      </c>
      <c r="X25" s="169">
        <f>+J25*U25</f>
        <v>0</v>
      </c>
      <c r="Y25" s="171"/>
      <c r="Z25" s="171"/>
      <c r="AA25" s="164">
        <f>1-Y25-Z25</f>
        <v>1</v>
      </c>
      <c r="AB25" s="170">
        <f t="shared" si="16"/>
        <v>0</v>
      </c>
      <c r="AC25" s="170">
        <f t="shared" si="16"/>
        <v>0</v>
      </c>
      <c r="AD25" s="170">
        <f t="shared" si="16"/>
        <v>0</v>
      </c>
      <c r="AE25" s="97"/>
      <c r="AF25" s="97"/>
      <c r="AG25" s="97"/>
      <c r="AH25" s="97"/>
      <c r="AI25" s="97"/>
      <c r="AJ25" s="97"/>
      <c r="AK25" s="97"/>
      <c r="AL25" s="97"/>
      <c r="AM25" s="117"/>
      <c r="AN25" s="117"/>
      <c r="AO25" s="117"/>
      <c r="AP25" s="117"/>
      <c r="AQ25" s="117"/>
      <c r="AR25" s="117"/>
      <c r="AS25" s="117">
        <f>ROUND(+Table3[[#This Row],[Quantity]]/4,0)</f>
        <v>0</v>
      </c>
      <c r="AT25" s="117"/>
      <c r="AU25" s="117"/>
      <c r="AV25" s="117"/>
      <c r="AW25" s="117"/>
      <c r="AX25" s="117"/>
      <c r="AY25" s="117"/>
      <c r="AZ25" s="77"/>
      <c r="BA25" s="77"/>
      <c r="BB25" s="77"/>
      <c r="BC25" s="77"/>
    </row>
    <row r="26" spans="1:55" ht="11.25" customHeight="1" x14ac:dyDescent="0.25">
      <c r="A26" s="97">
        <v>1</v>
      </c>
      <c r="B26" s="103" t="s">
        <v>435</v>
      </c>
      <c r="C26" s="97" t="s">
        <v>397</v>
      </c>
      <c r="D26" s="97" t="s">
        <v>105</v>
      </c>
      <c r="E26" s="97" t="str">
        <f>IFERROR(VLOOKUP(D26,Table1[],2,FALSE),"")</f>
        <v>reports</v>
      </c>
      <c r="F26" s="168">
        <v>1</v>
      </c>
      <c r="G26" s="171">
        <v>1</v>
      </c>
      <c r="H26" s="172">
        <v>2200000</v>
      </c>
      <c r="I26" s="166">
        <f t="shared" ref="I26:I28" si="17">+H26*G26*F26/63.34</f>
        <v>34733.185980423114</v>
      </c>
      <c r="J26" s="166">
        <f>+I26+L26+M26</f>
        <v>34733.185980423114</v>
      </c>
      <c r="K26" s="166">
        <f>+Table3[[#This Row],[Cost]]</f>
        <v>34733.185980423114</v>
      </c>
      <c r="L26" s="166"/>
      <c r="M26" s="166"/>
      <c r="N26" s="167" t="s">
        <v>241</v>
      </c>
      <c r="O26" s="168"/>
      <c r="P26" s="168"/>
      <c r="Q26" s="168" t="s">
        <v>354</v>
      </c>
      <c r="R26" s="173" t="s">
        <v>371</v>
      </c>
      <c r="S26" s="164">
        <f t="shared" ref="S26:S28" si="18">IFERROR(+I26/$J26,0)</f>
        <v>1</v>
      </c>
      <c r="T26" s="164">
        <f t="shared" ref="T26:T28" si="19">IFERROR(+L26/$J26,0)</f>
        <v>0</v>
      </c>
      <c r="U26" s="164">
        <f t="shared" ref="U26:U28" si="20">IFERROR(M26/J26,0)</f>
        <v>0</v>
      </c>
      <c r="V26" s="169">
        <f t="shared" ref="V26:V28" si="21">+S26*J26</f>
        <v>34733.185980423114</v>
      </c>
      <c r="W26" s="169">
        <f t="shared" ref="W26:W28" si="22">+T26*J26</f>
        <v>0</v>
      </c>
      <c r="X26" s="169">
        <f t="shared" ref="X26:X28" si="23">+J26*U26</f>
        <v>0</v>
      </c>
      <c r="Y26" s="171"/>
      <c r="Z26" s="171">
        <v>1</v>
      </c>
      <c r="AA26" s="164">
        <f t="shared" ref="AA26:AA28" si="24">1-Y26-Z26</f>
        <v>0</v>
      </c>
      <c r="AB26" s="170">
        <f t="shared" ref="AB26:AB28" si="25">+Y26*$I26</f>
        <v>0</v>
      </c>
      <c r="AC26" s="170">
        <f t="shared" ref="AC26:AC28" si="26">+Z26*$I26</f>
        <v>34733.185980423114</v>
      </c>
      <c r="AD26" s="170">
        <f t="shared" ref="AD26:AD28" si="27">+AA26*$I26</f>
        <v>0</v>
      </c>
      <c r="AE26" s="97"/>
      <c r="AF26" s="97"/>
      <c r="AG26" s="97"/>
      <c r="AH26" s="97"/>
      <c r="AI26" s="97"/>
      <c r="AJ26" s="97"/>
      <c r="AK26" s="97"/>
      <c r="AL26" s="97"/>
      <c r="AM26" s="117"/>
      <c r="AN26" s="117"/>
      <c r="AO26" s="117"/>
      <c r="AP26" s="117">
        <v>1</v>
      </c>
      <c r="AQ26" s="117"/>
      <c r="AR26" s="117"/>
      <c r="AS26" s="117"/>
      <c r="AT26" s="117"/>
      <c r="AU26" s="117"/>
      <c r="AV26" s="117"/>
      <c r="AW26" s="117"/>
      <c r="AX26" s="117"/>
      <c r="AY26" s="117"/>
      <c r="AZ26" s="77"/>
      <c r="BA26" s="77"/>
      <c r="BB26" s="77"/>
      <c r="BC26" s="77"/>
    </row>
    <row r="27" spans="1:55" ht="12.6" customHeight="1" x14ac:dyDescent="0.25">
      <c r="A27" s="97">
        <v>2</v>
      </c>
      <c r="B27" s="103" t="s">
        <v>437</v>
      </c>
      <c r="C27" s="97" t="s">
        <v>397</v>
      </c>
      <c r="D27" s="97" t="s">
        <v>113</v>
      </c>
      <c r="E27" s="97" t="str">
        <f>IFERROR(VLOOKUP(D27,Table1[],2,FALSE),"")</f>
        <v>systems</v>
      </c>
      <c r="F27" s="168">
        <v>1</v>
      </c>
      <c r="G27" s="171">
        <v>1</v>
      </c>
      <c r="H27" s="172">
        <v>2500000</v>
      </c>
      <c r="I27" s="166">
        <f t="shared" si="17"/>
        <v>39469.529523208083</v>
      </c>
      <c r="J27" s="166">
        <f>+I27+L27+M27</f>
        <v>39469.529523208083</v>
      </c>
      <c r="K27" s="166">
        <f>+Table3[[#This Row],[Cost]]</f>
        <v>39469.529523208083</v>
      </c>
      <c r="L27" s="166"/>
      <c r="M27" s="166"/>
      <c r="N27" s="167" t="s">
        <v>241</v>
      </c>
      <c r="O27" s="168"/>
      <c r="P27" s="168"/>
      <c r="Q27" s="168" t="s">
        <v>354</v>
      </c>
      <c r="R27" s="173" t="s">
        <v>371</v>
      </c>
      <c r="S27" s="164">
        <f t="shared" si="18"/>
        <v>1</v>
      </c>
      <c r="T27" s="164">
        <f t="shared" si="19"/>
        <v>0</v>
      </c>
      <c r="U27" s="164">
        <f t="shared" si="20"/>
        <v>0</v>
      </c>
      <c r="V27" s="169">
        <f t="shared" si="21"/>
        <v>39469.529523208083</v>
      </c>
      <c r="W27" s="169">
        <f t="shared" si="22"/>
        <v>0</v>
      </c>
      <c r="X27" s="169">
        <f t="shared" si="23"/>
        <v>0</v>
      </c>
      <c r="Y27" s="171"/>
      <c r="Z27" s="171">
        <v>1</v>
      </c>
      <c r="AA27" s="164">
        <f t="shared" si="24"/>
        <v>0</v>
      </c>
      <c r="AB27" s="170">
        <f t="shared" si="25"/>
        <v>0</v>
      </c>
      <c r="AC27" s="170">
        <f t="shared" si="26"/>
        <v>39469.529523208083</v>
      </c>
      <c r="AD27" s="170">
        <f t="shared" si="27"/>
        <v>0</v>
      </c>
      <c r="AE27" s="97"/>
      <c r="AF27" s="97"/>
      <c r="AG27" s="97"/>
      <c r="AH27" s="97"/>
      <c r="AI27" s="97"/>
      <c r="AJ27" s="97"/>
      <c r="AK27" s="97"/>
      <c r="AL27" s="97"/>
      <c r="AM27" s="117"/>
      <c r="AN27" s="117"/>
      <c r="AO27" s="117"/>
      <c r="AP27" s="117"/>
      <c r="AQ27" s="117"/>
      <c r="AR27" s="117"/>
      <c r="AS27" s="117">
        <v>1</v>
      </c>
      <c r="AT27" s="117"/>
      <c r="AU27" s="117"/>
      <c r="AV27" s="117"/>
      <c r="AW27" s="117"/>
      <c r="AX27" s="117"/>
      <c r="AY27" s="117"/>
      <c r="AZ27" s="77"/>
      <c r="BA27" s="77"/>
      <c r="BB27" s="77"/>
      <c r="BC27" s="77"/>
    </row>
    <row r="28" spans="1:55" ht="12.6" customHeight="1" x14ac:dyDescent="0.25">
      <c r="A28" s="97">
        <v>3</v>
      </c>
      <c r="B28" s="103" t="s">
        <v>438</v>
      </c>
      <c r="C28" s="97" t="s">
        <v>397</v>
      </c>
      <c r="D28" s="97" t="s">
        <v>114</v>
      </c>
      <c r="E28" s="97" t="str">
        <f>IFERROR(VLOOKUP(D28,Table1[],2,FALSE),"")</f>
        <v>units</v>
      </c>
      <c r="F28" s="168">
        <v>1</v>
      </c>
      <c r="G28" s="171">
        <v>5</v>
      </c>
      <c r="H28" s="172">
        <v>1200000</v>
      </c>
      <c r="I28" s="166">
        <f t="shared" si="17"/>
        <v>94726.870855699395</v>
      </c>
      <c r="J28" s="166">
        <f>+I28+L28+M28</f>
        <v>104199.55794126935</v>
      </c>
      <c r="K28" s="166">
        <f>+Table3[[#This Row],[Cost]]</f>
        <v>94726.870855699395</v>
      </c>
      <c r="L28" s="166">
        <f>+I28*0.05</f>
        <v>4736.3435427849699</v>
      </c>
      <c r="M28" s="166">
        <f>+I28*0.05</f>
        <v>4736.3435427849699</v>
      </c>
      <c r="N28" s="167" t="s">
        <v>241</v>
      </c>
      <c r="O28" s="168"/>
      <c r="P28" s="168"/>
      <c r="Q28" s="168" t="s">
        <v>354</v>
      </c>
      <c r="R28" s="173" t="s">
        <v>371</v>
      </c>
      <c r="S28" s="164">
        <f t="shared" si="18"/>
        <v>0.90909090909090895</v>
      </c>
      <c r="T28" s="164">
        <f t="shared" si="19"/>
        <v>4.5454545454545449E-2</v>
      </c>
      <c r="U28" s="164">
        <f t="shared" si="20"/>
        <v>4.5454545454545449E-2</v>
      </c>
      <c r="V28" s="169">
        <f t="shared" si="21"/>
        <v>94726.870855699395</v>
      </c>
      <c r="W28" s="169">
        <f t="shared" si="22"/>
        <v>4736.3435427849699</v>
      </c>
      <c r="X28" s="169">
        <f t="shared" si="23"/>
        <v>4736.3435427849699</v>
      </c>
      <c r="Y28" s="171"/>
      <c r="Z28" s="171">
        <v>1</v>
      </c>
      <c r="AA28" s="164">
        <f t="shared" si="24"/>
        <v>0</v>
      </c>
      <c r="AB28" s="170">
        <f t="shared" si="25"/>
        <v>0</v>
      </c>
      <c r="AC28" s="170">
        <f t="shared" si="26"/>
        <v>94726.870855699395</v>
      </c>
      <c r="AD28" s="170">
        <f t="shared" si="27"/>
        <v>0</v>
      </c>
      <c r="AE28" s="97"/>
      <c r="AF28" s="97"/>
      <c r="AG28" s="97"/>
      <c r="AH28" s="97"/>
      <c r="AI28" s="97"/>
      <c r="AJ28" s="97"/>
      <c r="AK28" s="97"/>
      <c r="AL28" s="97"/>
      <c r="AM28" s="117"/>
      <c r="AN28" s="117"/>
      <c r="AO28" s="117"/>
      <c r="AP28" s="117"/>
      <c r="AQ28" s="117"/>
      <c r="AR28" s="117"/>
      <c r="AS28" s="117"/>
      <c r="AT28" s="117"/>
      <c r="AU28" s="117"/>
      <c r="AV28" s="117"/>
      <c r="AW28" s="117">
        <f>+Table3[[#This Row],[Quantity]]</f>
        <v>5</v>
      </c>
      <c r="AX28" s="117"/>
      <c r="AY28" s="117"/>
      <c r="AZ28" s="77"/>
      <c r="BA28" s="77"/>
      <c r="BB28" s="77"/>
      <c r="BC28" s="77"/>
    </row>
    <row r="29" spans="1:55" s="104" customFormat="1" ht="12.6" customHeight="1" x14ac:dyDescent="0.25">
      <c r="A29" s="97"/>
      <c r="B29" s="103"/>
      <c r="C29" s="97"/>
      <c r="D29" s="97"/>
      <c r="E29" s="97" t="str">
        <f>IFERROR(VLOOKUP(D29,Table1[],2,FALSE),"")</f>
        <v/>
      </c>
      <c r="F29" s="168"/>
      <c r="G29" s="171"/>
      <c r="H29" s="172"/>
      <c r="I29" s="166">
        <f t="shared" si="0"/>
        <v>0</v>
      </c>
      <c r="J29" s="166">
        <f t="shared" si="8"/>
        <v>0</v>
      </c>
      <c r="K29" s="166">
        <f>+Table3[[#This Row],[Cost]]</f>
        <v>0</v>
      </c>
      <c r="L29" s="166"/>
      <c r="M29" s="166"/>
      <c r="N29" s="167"/>
      <c r="O29" s="168"/>
      <c r="P29" s="168"/>
      <c r="Q29" s="168" t="s">
        <v>352</v>
      </c>
      <c r="R29" s="168"/>
      <c r="S29" s="164">
        <f t="shared" si="9"/>
        <v>0</v>
      </c>
      <c r="T29" s="164">
        <f t="shared" si="2"/>
        <v>0</v>
      </c>
      <c r="U29" s="164">
        <f t="shared" si="10"/>
        <v>0</v>
      </c>
      <c r="V29" s="169">
        <f t="shared" si="11"/>
        <v>0</v>
      </c>
      <c r="W29" s="169">
        <f t="shared" si="12"/>
        <v>0</v>
      </c>
      <c r="X29" s="169">
        <f t="shared" si="13"/>
        <v>0</v>
      </c>
      <c r="Y29" s="171"/>
      <c r="Z29" s="171"/>
      <c r="AA29" s="164">
        <f t="shared" si="14"/>
        <v>1</v>
      </c>
      <c r="AB29" s="170">
        <f t="shared" si="3"/>
        <v>0</v>
      </c>
      <c r="AC29" s="170">
        <f t="shared" si="4"/>
        <v>0</v>
      </c>
      <c r="AD29" s="170">
        <f t="shared" si="5"/>
        <v>0</v>
      </c>
      <c r="AE29" s="97"/>
      <c r="AF29" s="97"/>
      <c r="AG29" s="97"/>
      <c r="AH29" s="97"/>
      <c r="AI29" s="97"/>
      <c r="AJ29" s="97"/>
      <c r="AK29" s="97"/>
      <c r="AL29" s="97"/>
      <c r="AM29" s="117"/>
      <c r="AN29" s="117"/>
      <c r="AO29" s="117"/>
      <c r="AP29" s="117"/>
      <c r="AQ29" s="117"/>
      <c r="AR29" s="117"/>
      <c r="AS29" s="117"/>
      <c r="AT29" s="117"/>
      <c r="AU29" s="117"/>
      <c r="AV29" s="117"/>
      <c r="AW29" s="117"/>
      <c r="AX29" s="117"/>
      <c r="AY29" s="117"/>
      <c r="AZ29" s="77"/>
      <c r="BA29" s="77"/>
      <c r="BB29" s="77"/>
      <c r="BC29" s="77"/>
    </row>
    <row r="30" spans="1:55" s="102" customFormat="1" ht="12.6" customHeight="1" x14ac:dyDescent="0.25">
      <c r="A30" s="92" t="s">
        <v>353</v>
      </c>
      <c r="B30" s="99" t="s">
        <v>356</v>
      </c>
      <c r="C30" s="97" t="s">
        <v>397</v>
      </c>
      <c r="D30" s="92"/>
      <c r="E30" s="97" t="str">
        <f>IFERROR(VLOOKUP(D30,Table1[],2,FALSE),"")</f>
        <v/>
      </c>
      <c r="F30" s="163"/>
      <c r="G30" s="164"/>
      <c r="H30" s="165"/>
      <c r="I30" s="166">
        <f t="shared" si="0"/>
        <v>0</v>
      </c>
      <c r="J30" s="166">
        <f t="shared" si="8"/>
        <v>0</v>
      </c>
      <c r="K30" s="166">
        <f>+Table3[[#This Row],[Cost]]</f>
        <v>0</v>
      </c>
      <c r="L30" s="166"/>
      <c r="M30" s="166"/>
      <c r="N30" s="174"/>
      <c r="O30" s="163"/>
      <c r="P30" s="163"/>
      <c r="Q30" s="168"/>
      <c r="R30" s="163"/>
      <c r="S30" s="164">
        <f t="shared" si="9"/>
        <v>0</v>
      </c>
      <c r="T30" s="164">
        <f t="shared" si="2"/>
        <v>0</v>
      </c>
      <c r="U30" s="164">
        <f t="shared" si="10"/>
        <v>0</v>
      </c>
      <c r="V30" s="169">
        <f t="shared" si="11"/>
        <v>0</v>
      </c>
      <c r="W30" s="169">
        <f t="shared" si="12"/>
        <v>0</v>
      </c>
      <c r="X30" s="169">
        <f t="shared" si="13"/>
        <v>0</v>
      </c>
      <c r="Y30" s="164"/>
      <c r="Z30" s="164"/>
      <c r="AA30" s="164">
        <f t="shared" si="14"/>
        <v>1</v>
      </c>
      <c r="AB30" s="170">
        <f t="shared" si="3"/>
        <v>0</v>
      </c>
      <c r="AC30" s="170">
        <f t="shared" si="4"/>
        <v>0</v>
      </c>
      <c r="AD30" s="170">
        <f t="shared" si="5"/>
        <v>0</v>
      </c>
      <c r="AE30" s="92"/>
      <c r="AF30" s="92"/>
      <c r="AG30" s="92"/>
      <c r="AH30" s="92"/>
      <c r="AI30" s="92"/>
      <c r="AJ30" s="92"/>
      <c r="AK30" s="92"/>
      <c r="AL30" s="92"/>
      <c r="AM30" s="119"/>
      <c r="AN30" s="119"/>
      <c r="AO30" s="119"/>
      <c r="AP30" s="119"/>
      <c r="AQ30" s="119"/>
      <c r="AR30" s="119"/>
      <c r="AS30" s="117"/>
      <c r="AT30" s="117"/>
      <c r="AU30" s="117"/>
      <c r="AV30" s="117"/>
      <c r="AW30" s="117"/>
      <c r="AX30" s="117"/>
      <c r="AY30" s="117"/>
      <c r="AZ30" s="77"/>
      <c r="BA30" s="77"/>
      <c r="BB30" s="77"/>
      <c r="BC30" s="77"/>
    </row>
    <row r="31" spans="1:55" s="104" customFormat="1" ht="12.6" customHeight="1" x14ac:dyDescent="0.25">
      <c r="A31" s="97">
        <v>1</v>
      </c>
      <c r="B31" s="103" t="s">
        <v>404</v>
      </c>
      <c r="C31" s="97" t="s">
        <v>397</v>
      </c>
      <c r="D31" s="97" t="s">
        <v>114</v>
      </c>
      <c r="E31" s="97" t="str">
        <f>IFERROR(VLOOKUP(D31,Table1[],2,FALSE),"")</f>
        <v>units</v>
      </c>
      <c r="F31" s="168">
        <v>1</v>
      </c>
      <c r="G31" s="171">
        <v>5</v>
      </c>
      <c r="H31" s="172">
        <v>2300000</v>
      </c>
      <c r="I31" s="166">
        <f t="shared" si="0"/>
        <v>181559.83580675718</v>
      </c>
      <c r="J31" s="166">
        <f t="shared" si="8"/>
        <v>199715.81938743292</v>
      </c>
      <c r="K31" s="166">
        <f>+Table3[[#This Row],[Cost]]</f>
        <v>181559.83580675718</v>
      </c>
      <c r="L31" s="166">
        <f>+I31*0.05</f>
        <v>9077.9917903378591</v>
      </c>
      <c r="M31" s="166">
        <f>+I31*0.05</f>
        <v>9077.9917903378591</v>
      </c>
      <c r="N31" s="167" t="s">
        <v>241</v>
      </c>
      <c r="O31" s="168"/>
      <c r="P31" s="168"/>
      <c r="Q31" s="168" t="s">
        <v>352</v>
      </c>
      <c r="R31" s="173" t="s">
        <v>371</v>
      </c>
      <c r="S31" s="164">
        <f t="shared" si="9"/>
        <v>0.90909090909090906</v>
      </c>
      <c r="T31" s="164">
        <f t="shared" si="2"/>
        <v>4.5454545454545449E-2</v>
      </c>
      <c r="U31" s="164">
        <f t="shared" si="10"/>
        <v>4.5454545454545449E-2</v>
      </c>
      <c r="V31" s="169">
        <f t="shared" si="11"/>
        <v>181559.83580675718</v>
      </c>
      <c r="W31" s="169">
        <f t="shared" si="12"/>
        <v>9077.9917903378591</v>
      </c>
      <c r="X31" s="169">
        <f t="shared" si="13"/>
        <v>9077.9917903378591</v>
      </c>
      <c r="Y31" s="171"/>
      <c r="Z31" s="171">
        <v>1</v>
      </c>
      <c r="AA31" s="164">
        <f t="shared" si="14"/>
        <v>0</v>
      </c>
      <c r="AB31" s="170">
        <f t="shared" si="3"/>
        <v>0</v>
      </c>
      <c r="AC31" s="170">
        <f t="shared" si="4"/>
        <v>181559.83580675718</v>
      </c>
      <c r="AD31" s="170">
        <f t="shared" si="5"/>
        <v>0</v>
      </c>
      <c r="AE31" s="97"/>
      <c r="AF31" s="97"/>
      <c r="AG31" s="97"/>
      <c r="AH31" s="97"/>
      <c r="AI31" s="97"/>
      <c r="AJ31" s="97"/>
      <c r="AK31" s="97"/>
      <c r="AL31" s="97"/>
      <c r="AM31" s="117"/>
      <c r="AN31" s="117"/>
      <c r="AO31" s="117"/>
      <c r="AP31" s="117">
        <f>+Table3[[#This Row],[Quantity]]</f>
        <v>5</v>
      </c>
      <c r="AQ31" s="117"/>
      <c r="AR31" s="117"/>
      <c r="AS31" s="117"/>
      <c r="AT31" s="117"/>
      <c r="AU31" s="117"/>
      <c r="AV31" s="117"/>
      <c r="AW31" s="117"/>
      <c r="AX31" s="117"/>
      <c r="AY31" s="117"/>
      <c r="AZ31" s="77"/>
      <c r="BA31" s="77"/>
      <c r="BB31" s="77"/>
      <c r="BC31" s="77"/>
    </row>
    <row r="32" spans="1:55" s="104" customFormat="1" ht="12.6" customHeight="1" x14ac:dyDescent="0.25">
      <c r="A32" s="97"/>
      <c r="B32" s="103"/>
      <c r="C32" s="97"/>
      <c r="D32" s="97"/>
      <c r="E32" s="97" t="str">
        <f>IFERROR(VLOOKUP(D32,Table1[],2,FALSE),"")</f>
        <v/>
      </c>
      <c r="F32" s="168"/>
      <c r="G32" s="171"/>
      <c r="H32" s="172"/>
      <c r="I32" s="166">
        <f t="shared" si="0"/>
        <v>0</v>
      </c>
      <c r="J32" s="166">
        <f t="shared" si="8"/>
        <v>0</v>
      </c>
      <c r="K32" s="166">
        <f>+Table3[[#This Row],[Cost]]</f>
        <v>0</v>
      </c>
      <c r="L32" s="166"/>
      <c r="M32" s="166"/>
      <c r="N32" s="167"/>
      <c r="O32" s="168"/>
      <c r="P32" s="168"/>
      <c r="Q32" s="168"/>
      <c r="R32" s="168"/>
      <c r="S32" s="164">
        <f t="shared" si="9"/>
        <v>0</v>
      </c>
      <c r="T32" s="164">
        <f t="shared" si="2"/>
        <v>0</v>
      </c>
      <c r="U32" s="164">
        <f t="shared" si="10"/>
        <v>0</v>
      </c>
      <c r="V32" s="169">
        <f t="shared" si="11"/>
        <v>0</v>
      </c>
      <c r="W32" s="169">
        <f t="shared" si="12"/>
        <v>0</v>
      </c>
      <c r="X32" s="169">
        <f t="shared" si="13"/>
        <v>0</v>
      </c>
      <c r="Y32" s="171"/>
      <c r="Z32" s="171"/>
      <c r="AA32" s="164">
        <f t="shared" si="14"/>
        <v>1</v>
      </c>
      <c r="AB32" s="170">
        <f t="shared" si="3"/>
        <v>0</v>
      </c>
      <c r="AC32" s="170">
        <f t="shared" si="4"/>
        <v>0</v>
      </c>
      <c r="AD32" s="170">
        <f t="shared" si="5"/>
        <v>0</v>
      </c>
      <c r="AE32" s="97"/>
      <c r="AF32" s="97"/>
      <c r="AG32" s="97"/>
      <c r="AH32" s="97"/>
      <c r="AI32" s="97"/>
      <c r="AJ32" s="97"/>
      <c r="AK32" s="97"/>
      <c r="AL32" s="97"/>
      <c r="AM32" s="117"/>
      <c r="AN32" s="117"/>
      <c r="AO32" s="117"/>
      <c r="AP32" s="117"/>
      <c r="AQ32" s="117"/>
      <c r="AR32" s="117"/>
      <c r="AS32" s="117"/>
      <c r="AT32" s="117"/>
      <c r="AU32" s="117"/>
      <c r="AV32" s="117"/>
      <c r="AW32" s="117"/>
      <c r="AX32" s="117"/>
      <c r="AY32" s="117"/>
      <c r="AZ32" s="77"/>
      <c r="BA32" s="77"/>
      <c r="BB32" s="77"/>
      <c r="BC32" s="77"/>
    </row>
    <row r="33" spans="1:55" s="102" customFormat="1" ht="12.6" customHeight="1" x14ac:dyDescent="0.25">
      <c r="A33" s="92" t="s">
        <v>453</v>
      </c>
      <c r="B33" s="140" t="s">
        <v>390</v>
      </c>
      <c r="C33" s="141" t="s">
        <v>397</v>
      </c>
      <c r="D33" s="142"/>
      <c r="E33" s="141" t="str">
        <f>IFERROR(VLOOKUP(D33,Table1[],2,FALSE),"")</f>
        <v/>
      </c>
      <c r="F33" s="175"/>
      <c r="G33" s="176"/>
      <c r="H33" s="177"/>
      <c r="I33" s="178">
        <f t="shared" si="0"/>
        <v>0</v>
      </c>
      <c r="J33" s="178">
        <f t="shared" si="8"/>
        <v>0</v>
      </c>
      <c r="K33" s="178">
        <f>+Table3[[#This Row],[Cost]]</f>
        <v>0</v>
      </c>
      <c r="L33" s="178"/>
      <c r="M33" s="178"/>
      <c r="N33" s="179"/>
      <c r="O33" s="175"/>
      <c r="P33" s="175"/>
      <c r="Q33" s="180"/>
      <c r="R33" s="175"/>
      <c r="S33" s="176">
        <f t="shared" si="9"/>
        <v>0</v>
      </c>
      <c r="T33" s="176">
        <f t="shared" si="2"/>
        <v>0</v>
      </c>
      <c r="U33" s="176">
        <f t="shared" si="10"/>
        <v>0</v>
      </c>
      <c r="V33" s="181">
        <f t="shared" si="11"/>
        <v>0</v>
      </c>
      <c r="W33" s="181">
        <f t="shared" si="12"/>
        <v>0</v>
      </c>
      <c r="X33" s="181">
        <f t="shared" si="13"/>
        <v>0</v>
      </c>
      <c r="Y33" s="176"/>
      <c r="Z33" s="176"/>
      <c r="AA33" s="176">
        <f t="shared" ref="AA33:AA47" si="28">1-Y33-Z33</f>
        <v>1</v>
      </c>
      <c r="AB33" s="182">
        <f t="shared" si="3"/>
        <v>0</v>
      </c>
      <c r="AC33" s="182">
        <f t="shared" si="4"/>
        <v>0</v>
      </c>
      <c r="AD33" s="182">
        <f t="shared" si="5"/>
        <v>0</v>
      </c>
      <c r="AE33" s="92"/>
      <c r="AF33" s="92"/>
      <c r="AG33" s="92"/>
      <c r="AH33" s="92"/>
      <c r="AI33" s="92"/>
      <c r="AJ33" s="92"/>
      <c r="AK33" s="92"/>
      <c r="AL33" s="92"/>
      <c r="AM33" s="119"/>
      <c r="AN33" s="119"/>
      <c r="AO33" s="119"/>
      <c r="AP33" s="119"/>
      <c r="AQ33" s="119"/>
      <c r="AR33" s="119"/>
      <c r="AS33" s="117"/>
      <c r="AT33" s="117"/>
      <c r="AU33" s="117"/>
      <c r="AV33" s="117"/>
      <c r="AW33" s="117"/>
      <c r="AX33" s="117"/>
      <c r="AY33" s="117"/>
      <c r="AZ33" s="77"/>
      <c r="BA33" s="77"/>
      <c r="BB33" s="77"/>
      <c r="BC33" s="77"/>
    </row>
    <row r="34" spans="1:55" ht="12.6" customHeight="1" x14ac:dyDescent="0.25">
      <c r="A34" s="76">
        <v>1</v>
      </c>
      <c r="B34" s="143" t="s">
        <v>381</v>
      </c>
      <c r="C34" s="141" t="s">
        <v>397</v>
      </c>
      <c r="D34" s="144" t="s">
        <v>391</v>
      </c>
      <c r="E34" s="141" t="s">
        <v>128</v>
      </c>
      <c r="F34" s="183">
        <v>1</v>
      </c>
      <c r="G34" s="183">
        <v>50</v>
      </c>
      <c r="H34" s="184">
        <v>180000</v>
      </c>
      <c r="I34" s="178">
        <f t="shared" si="0"/>
        <v>142090.30628354909</v>
      </c>
      <c r="J34" s="178">
        <f t="shared" si="8"/>
        <v>163403.85222608145</v>
      </c>
      <c r="K34" s="178">
        <f>+Table3[[#This Row],[Cost]]</f>
        <v>142090.30628354909</v>
      </c>
      <c r="L34" s="178">
        <f>+Table3[[#This Row],[CRI Financing (US$)]]*0.1</f>
        <v>14209.030628354909</v>
      </c>
      <c r="M34" s="184">
        <f>+I34*0.05</f>
        <v>7104.5153141774545</v>
      </c>
      <c r="N34" s="183" t="s">
        <v>241</v>
      </c>
      <c r="O34" s="183"/>
      <c r="P34" s="183"/>
      <c r="Q34" s="180" t="s">
        <v>352</v>
      </c>
      <c r="R34" s="183" t="s">
        <v>252</v>
      </c>
      <c r="S34" s="176">
        <f t="shared" si="9"/>
        <v>0.86956521739130432</v>
      </c>
      <c r="T34" s="176">
        <f t="shared" si="2"/>
        <v>8.6956521739130432E-2</v>
      </c>
      <c r="U34" s="176">
        <f t="shared" si="10"/>
        <v>4.3478260869565216E-2</v>
      </c>
      <c r="V34" s="181">
        <f t="shared" si="11"/>
        <v>142090.30628354909</v>
      </c>
      <c r="W34" s="181">
        <f t="shared" si="12"/>
        <v>14209.030628354909</v>
      </c>
      <c r="X34" s="181">
        <f t="shared" si="13"/>
        <v>7104.5153141774545</v>
      </c>
      <c r="Y34" s="185"/>
      <c r="Z34" s="185"/>
      <c r="AA34" s="176">
        <f t="shared" si="28"/>
        <v>1</v>
      </c>
      <c r="AB34" s="182">
        <f t="shared" si="3"/>
        <v>0</v>
      </c>
      <c r="AC34" s="182">
        <f t="shared" si="4"/>
        <v>0</v>
      </c>
      <c r="AD34" s="182">
        <f t="shared" si="5"/>
        <v>142090.30628354909</v>
      </c>
      <c r="AE34" s="76"/>
      <c r="AF34" s="76"/>
      <c r="AG34" s="76"/>
      <c r="AH34" s="76"/>
      <c r="AI34" s="76"/>
      <c r="AJ34" s="76"/>
      <c r="AK34" s="76"/>
      <c r="AL34" s="76"/>
      <c r="AM34" s="120"/>
      <c r="AN34" s="120"/>
      <c r="AO34" s="117">
        <v>10</v>
      </c>
      <c r="AP34" s="117"/>
      <c r="AQ34" s="117"/>
      <c r="AR34" s="117">
        <v>20</v>
      </c>
      <c r="AS34" s="117">
        <v>20</v>
      </c>
      <c r="AT34" s="117">
        <v>25</v>
      </c>
      <c r="AU34" s="117"/>
      <c r="AV34" s="117"/>
      <c r="AW34" s="117"/>
      <c r="AX34" s="117"/>
      <c r="AY34" s="117"/>
      <c r="AZ34" s="77"/>
      <c r="BA34" s="77"/>
      <c r="BB34" s="77"/>
      <c r="BC34" s="77"/>
    </row>
    <row r="35" spans="1:55" ht="12.6" customHeight="1" x14ac:dyDescent="0.25">
      <c r="A35" s="76">
        <v>2</v>
      </c>
      <c r="B35" s="143" t="s">
        <v>389</v>
      </c>
      <c r="C35" s="141" t="s">
        <v>397</v>
      </c>
      <c r="D35" s="144" t="s">
        <v>362</v>
      </c>
      <c r="E35" s="141" t="s">
        <v>446</v>
      </c>
      <c r="F35" s="183">
        <v>1</v>
      </c>
      <c r="G35" s="183">
        <v>1</v>
      </c>
      <c r="H35" s="184">
        <v>2578062.5</v>
      </c>
      <c r="I35" s="178">
        <f t="shared" si="0"/>
        <v>40701.96558257025</v>
      </c>
      <c r="J35" s="178">
        <f t="shared" si="8"/>
        <v>48842.358699084303</v>
      </c>
      <c r="K35" s="178">
        <f>+Table3[[#This Row],[Cost]]</f>
        <v>40701.96558257025</v>
      </c>
      <c r="L35" s="178">
        <f>+Table3[[#This Row],[CRI Financing (US$)]]*0.1</f>
        <v>4070.1965582570251</v>
      </c>
      <c r="M35" s="184">
        <f>+Table3[[#This Row],[CRI Financing (US$)]]*0.1</f>
        <v>4070.1965582570251</v>
      </c>
      <c r="N35" s="183" t="s">
        <v>241</v>
      </c>
      <c r="O35" s="183"/>
      <c r="P35" s="183"/>
      <c r="Q35" s="180" t="s">
        <v>352</v>
      </c>
      <c r="R35" s="183" t="s">
        <v>252</v>
      </c>
      <c r="S35" s="186">
        <f t="shared" si="9"/>
        <v>0.83333333333333326</v>
      </c>
      <c r="T35" s="186">
        <f t="shared" si="2"/>
        <v>8.3333333333333329E-2</v>
      </c>
      <c r="U35" s="186">
        <f t="shared" si="10"/>
        <v>8.3333333333333329E-2</v>
      </c>
      <c r="V35" s="178">
        <f t="shared" si="11"/>
        <v>40701.96558257025</v>
      </c>
      <c r="W35" s="178">
        <f t="shared" si="12"/>
        <v>4070.1965582570251</v>
      </c>
      <c r="X35" s="178">
        <f t="shared" si="13"/>
        <v>4070.1965582570251</v>
      </c>
      <c r="Y35" s="185"/>
      <c r="Z35" s="185"/>
      <c r="AA35" s="186">
        <f t="shared" si="28"/>
        <v>1</v>
      </c>
      <c r="AB35" s="187">
        <f t="shared" si="3"/>
        <v>0</v>
      </c>
      <c r="AC35" s="187">
        <f t="shared" si="4"/>
        <v>0</v>
      </c>
      <c r="AD35" s="187">
        <f t="shared" si="5"/>
        <v>40701.96558257025</v>
      </c>
      <c r="AE35" s="76"/>
      <c r="AF35" s="76"/>
      <c r="AG35" s="76"/>
      <c r="AH35" s="76"/>
      <c r="AI35" s="76"/>
      <c r="AJ35" s="76"/>
      <c r="AK35" s="76"/>
      <c r="AL35" s="76"/>
      <c r="AM35" s="120"/>
      <c r="AN35" s="120"/>
      <c r="AO35" s="117">
        <f>ROUND(+Table3[[#This Row],[Quantity]]/4,0)</f>
        <v>0</v>
      </c>
      <c r="AP35" s="117"/>
      <c r="AQ35" s="117"/>
      <c r="AR35" s="117">
        <f>+Table3[[#This Row],[Dec]]</f>
        <v>0</v>
      </c>
      <c r="AS35" s="117"/>
      <c r="AT35" s="117">
        <f>ROUND(+Table3[[#This Row],[Quantity]]/4,0)</f>
        <v>0</v>
      </c>
      <c r="AU35" s="117"/>
      <c r="AV35" s="117">
        <f>+Table3[[#This Row],[Quantity]]-Table3[[#This Row],[Dec]]-Table3[[#This Row],[ Feb]]-Table3[[#This Row],[ Apr]]</f>
        <v>1</v>
      </c>
      <c r="AW35" s="117"/>
      <c r="AX35" s="117"/>
      <c r="AY35" s="117"/>
      <c r="AZ35" s="77"/>
      <c r="BA35" s="77"/>
      <c r="BB35" s="77"/>
      <c r="BC35" s="77"/>
    </row>
    <row r="36" spans="1:55" ht="12.6" customHeight="1" x14ac:dyDescent="0.25">
      <c r="A36" s="76">
        <v>3</v>
      </c>
      <c r="B36" s="145" t="s">
        <v>382</v>
      </c>
      <c r="C36" s="141" t="s">
        <v>397</v>
      </c>
      <c r="D36" s="144" t="s">
        <v>366</v>
      </c>
      <c r="E36" s="141" t="s">
        <v>447</v>
      </c>
      <c r="F36" s="183">
        <v>1</v>
      </c>
      <c r="G36" s="183">
        <v>60</v>
      </c>
      <c r="H36" s="184">
        <v>84613.333333333328</v>
      </c>
      <c r="I36" s="178">
        <f t="shared" si="0"/>
        <v>80151.562993369109</v>
      </c>
      <c r="J36" s="178">
        <f t="shared" si="8"/>
        <v>104197.03189137985</v>
      </c>
      <c r="K36" s="178">
        <f>+Table3[[#This Row],[Cost]]</f>
        <v>80151.562993369109</v>
      </c>
      <c r="L36" s="178">
        <f>+Table3[[#This Row],[CRI Financing (US$)]]*0.1</f>
        <v>8015.1562993369116</v>
      </c>
      <c r="M36" s="184">
        <f>+Table3[[#This Row],[CRI Financing (US$)]]*0.2</f>
        <v>16030.312598673823</v>
      </c>
      <c r="N36" s="183" t="s">
        <v>241</v>
      </c>
      <c r="O36" s="183"/>
      <c r="P36" s="183"/>
      <c r="Q36" s="180" t="s">
        <v>352</v>
      </c>
      <c r="R36" s="183" t="s">
        <v>252</v>
      </c>
      <c r="S36" s="176">
        <f t="shared" si="9"/>
        <v>0.76923076923076916</v>
      </c>
      <c r="T36" s="176">
        <f t="shared" si="2"/>
        <v>7.6923076923076913E-2</v>
      </c>
      <c r="U36" s="176">
        <f t="shared" si="10"/>
        <v>0.15384615384615383</v>
      </c>
      <c r="V36" s="181">
        <f t="shared" si="11"/>
        <v>80151.562993369109</v>
      </c>
      <c r="W36" s="181">
        <f t="shared" si="12"/>
        <v>8015.1562993369107</v>
      </c>
      <c r="X36" s="181">
        <f t="shared" si="13"/>
        <v>16030.312598673821</v>
      </c>
      <c r="Y36" s="185"/>
      <c r="Z36" s="185"/>
      <c r="AA36" s="176">
        <f t="shared" si="28"/>
        <v>1</v>
      </c>
      <c r="AB36" s="182">
        <f t="shared" si="3"/>
        <v>0</v>
      </c>
      <c r="AC36" s="182">
        <f t="shared" si="4"/>
        <v>0</v>
      </c>
      <c r="AD36" s="182">
        <f t="shared" si="5"/>
        <v>80151.562993369109</v>
      </c>
      <c r="AE36" s="76"/>
      <c r="AF36" s="76"/>
      <c r="AG36" s="76"/>
      <c r="AH36" s="76"/>
      <c r="AI36" s="76"/>
      <c r="AJ36" s="76"/>
      <c r="AK36" s="76"/>
      <c r="AL36" s="76"/>
      <c r="AM36" s="120"/>
      <c r="AN36" s="120"/>
      <c r="AO36" s="117">
        <f>ROUND(+Table3[[#This Row],[Quantity]]/4,0)</f>
        <v>15</v>
      </c>
      <c r="AP36" s="117"/>
      <c r="AQ36" s="117"/>
      <c r="AR36" s="117">
        <f>+Table3[[#This Row],[Dec]]</f>
        <v>0</v>
      </c>
      <c r="AS36" s="117"/>
      <c r="AT36" s="117">
        <f>ROUND(+Table3[[#This Row],[Quantity]]/4,0)</f>
        <v>15</v>
      </c>
      <c r="AU36" s="117"/>
      <c r="AV36" s="117">
        <f>+Table3[[#This Row],[Quantity]]-Table3[[#This Row],[Dec]]-Table3[[#This Row],[ Feb]]-Table3[[#This Row],[ Apr]]</f>
        <v>60</v>
      </c>
      <c r="AW36" s="117"/>
      <c r="AX36" s="117"/>
      <c r="AY36" s="117"/>
      <c r="AZ36" s="77"/>
      <c r="BA36" s="77"/>
      <c r="BB36" s="77"/>
      <c r="BC36" s="77"/>
    </row>
    <row r="37" spans="1:55" ht="12.6" customHeight="1" x14ac:dyDescent="0.25">
      <c r="A37" s="76">
        <v>4</v>
      </c>
      <c r="B37" s="145" t="s">
        <v>383</v>
      </c>
      <c r="C37" s="141" t="s">
        <v>397</v>
      </c>
      <c r="D37" s="144" t="s">
        <v>13</v>
      </c>
      <c r="E37" s="141" t="str">
        <f>IFERROR(VLOOKUP(D37,Table1[],2,FALSE),"")</f>
        <v>households</v>
      </c>
      <c r="F37" s="183">
        <v>1</v>
      </c>
      <c r="G37" s="183">
        <v>900</v>
      </c>
      <c r="H37" s="184">
        <v>105.105625</v>
      </c>
      <c r="I37" s="178">
        <v>149344.90448373856</v>
      </c>
      <c r="J37" s="178">
        <v>164279.39493211239</v>
      </c>
      <c r="K37" s="178">
        <v>149344.90448373856</v>
      </c>
      <c r="L37" s="178">
        <v>7467.2452241869287</v>
      </c>
      <c r="M37" s="178">
        <v>7467.2452241869287</v>
      </c>
      <c r="N37" s="183" t="s">
        <v>241</v>
      </c>
      <c r="O37" s="183"/>
      <c r="P37" s="183"/>
      <c r="Q37" s="180" t="s">
        <v>352</v>
      </c>
      <c r="R37" s="183" t="s">
        <v>371</v>
      </c>
      <c r="S37" s="176">
        <f t="shared" si="9"/>
        <v>0.90909090909090917</v>
      </c>
      <c r="T37" s="176">
        <f t="shared" si="2"/>
        <v>4.5454545454545463E-2</v>
      </c>
      <c r="U37" s="176">
        <f t="shared" si="10"/>
        <v>4.5454545454545463E-2</v>
      </c>
      <c r="V37" s="181">
        <f t="shared" si="11"/>
        <v>149344.90448373856</v>
      </c>
      <c r="W37" s="181">
        <f t="shared" si="12"/>
        <v>7467.2452241869287</v>
      </c>
      <c r="X37" s="181">
        <f t="shared" si="13"/>
        <v>7467.2452241869287</v>
      </c>
      <c r="Y37" s="185"/>
      <c r="Z37" s="185"/>
      <c r="AA37" s="176">
        <f t="shared" si="28"/>
        <v>1</v>
      </c>
      <c r="AB37" s="182">
        <f t="shared" si="3"/>
        <v>0</v>
      </c>
      <c r="AC37" s="182">
        <f t="shared" si="4"/>
        <v>0</v>
      </c>
      <c r="AD37" s="182">
        <f t="shared" si="5"/>
        <v>149344.90448373856</v>
      </c>
      <c r="AE37" s="76"/>
      <c r="AF37" s="76"/>
      <c r="AG37" s="76"/>
      <c r="AH37" s="76"/>
      <c r="AI37" s="76"/>
      <c r="AJ37" s="76"/>
      <c r="AK37" s="76"/>
      <c r="AL37" s="76"/>
      <c r="AM37" s="120"/>
      <c r="AN37" s="120"/>
      <c r="AO37" s="120"/>
      <c r="AP37" s="120"/>
      <c r="AQ37" s="120"/>
      <c r="AR37" s="120">
        <f>+ROUND(Table3[[#This Row],[Quantity]]/3,0)</f>
        <v>300</v>
      </c>
      <c r="AS37" s="117"/>
      <c r="AT37" s="117">
        <f>+Table3[[#This Row],[ Jan]]</f>
        <v>300</v>
      </c>
      <c r="AU37" s="117">
        <f>+Table3[[#This Row],[Quantity]]-Table3[[#This Row],[ Jan]]-Table3[[#This Row],[ Mar]]</f>
        <v>300</v>
      </c>
      <c r="AV37" s="117"/>
      <c r="AW37" s="117"/>
      <c r="AX37" s="117"/>
      <c r="AY37" s="117"/>
      <c r="AZ37" s="77"/>
      <c r="BA37" s="77"/>
      <c r="BB37" s="77"/>
      <c r="BC37" s="77"/>
    </row>
    <row r="38" spans="1:55" ht="12.6" customHeight="1" x14ac:dyDescent="0.25">
      <c r="A38" s="76">
        <v>6</v>
      </c>
      <c r="B38" s="145" t="s">
        <v>387</v>
      </c>
      <c r="C38" s="141" t="s">
        <v>397</v>
      </c>
      <c r="D38" s="144" t="s">
        <v>362</v>
      </c>
      <c r="E38" s="141" t="s">
        <v>446</v>
      </c>
      <c r="F38" s="183">
        <v>1</v>
      </c>
      <c r="G38" s="183">
        <v>2</v>
      </c>
      <c r="H38" s="184">
        <v>22805.9375</v>
      </c>
      <c r="I38" s="178">
        <f t="shared" si="0"/>
        <v>720.1116987685507</v>
      </c>
      <c r="J38" s="178">
        <f t="shared" si="8"/>
        <v>792.12286864540579</v>
      </c>
      <c r="K38" s="178">
        <f>+Table3[[#This Row],[Cost]]</f>
        <v>720.1116987685507</v>
      </c>
      <c r="L38" s="178">
        <f>+I38*0.05</f>
        <v>36.005584938427539</v>
      </c>
      <c r="M38" s="178">
        <f>+I38*0.05</f>
        <v>36.005584938427539</v>
      </c>
      <c r="N38" s="183" t="s">
        <v>241</v>
      </c>
      <c r="O38" s="183"/>
      <c r="P38" s="183"/>
      <c r="Q38" s="180" t="s">
        <v>352</v>
      </c>
      <c r="R38" s="183" t="s">
        <v>371</v>
      </c>
      <c r="S38" s="176">
        <f t="shared" si="9"/>
        <v>0.90909090909090906</v>
      </c>
      <c r="T38" s="176">
        <f t="shared" si="2"/>
        <v>4.5454545454545456E-2</v>
      </c>
      <c r="U38" s="176">
        <f t="shared" si="10"/>
        <v>4.5454545454545456E-2</v>
      </c>
      <c r="V38" s="181">
        <f t="shared" si="11"/>
        <v>720.1116987685507</v>
      </c>
      <c r="W38" s="181">
        <f t="shared" si="12"/>
        <v>36.005584938427539</v>
      </c>
      <c r="X38" s="181">
        <f t="shared" si="13"/>
        <v>36.005584938427539</v>
      </c>
      <c r="Y38" s="185"/>
      <c r="Z38" s="185"/>
      <c r="AA38" s="176">
        <f t="shared" si="28"/>
        <v>1</v>
      </c>
      <c r="AB38" s="182">
        <f t="shared" si="3"/>
        <v>0</v>
      </c>
      <c r="AC38" s="182">
        <f t="shared" si="4"/>
        <v>0</v>
      </c>
      <c r="AD38" s="182">
        <f t="shared" si="5"/>
        <v>720.1116987685507</v>
      </c>
      <c r="AE38" s="76"/>
      <c r="AF38" s="76"/>
      <c r="AG38" s="76"/>
      <c r="AH38" s="76"/>
      <c r="AI38" s="76"/>
      <c r="AJ38" s="76"/>
      <c r="AK38" s="76"/>
      <c r="AL38" s="76"/>
      <c r="AM38" s="120"/>
      <c r="AN38" s="120"/>
      <c r="AO38" s="117"/>
      <c r="AP38" s="117"/>
      <c r="AQ38" s="117"/>
      <c r="AR38" s="117"/>
      <c r="AS38" s="117">
        <v>4</v>
      </c>
      <c r="AT38" s="117"/>
      <c r="AU38" s="117"/>
      <c r="AV38" s="117"/>
      <c r="AW38" s="117"/>
      <c r="AX38" s="117"/>
      <c r="AY38" s="117"/>
      <c r="AZ38" s="77"/>
      <c r="BA38" s="77"/>
      <c r="BB38" s="77"/>
      <c r="BC38" s="77"/>
    </row>
    <row r="39" spans="1:55" ht="12.6" customHeight="1" x14ac:dyDescent="0.25">
      <c r="A39" s="76">
        <v>7</v>
      </c>
      <c r="B39" s="145" t="s">
        <v>386</v>
      </c>
      <c r="C39" s="141" t="s">
        <v>397</v>
      </c>
      <c r="D39" s="144" t="s">
        <v>359</v>
      </c>
      <c r="E39" s="141" t="s">
        <v>448</v>
      </c>
      <c r="F39" s="183">
        <v>1</v>
      </c>
      <c r="G39" s="183">
        <f>3*10</f>
        <v>30</v>
      </c>
      <c r="H39" s="184">
        <v>400670.57500000001</v>
      </c>
      <c r="I39" s="178">
        <v>18977.134906851912</v>
      </c>
      <c r="J39" s="178">
        <v>24561.993734031559</v>
      </c>
      <c r="K39" s="178">
        <v>18977.134906851912</v>
      </c>
      <c r="L39" s="184">
        <v>5584.8588271796471</v>
      </c>
      <c r="M39" s="184"/>
      <c r="N39" s="183" t="s">
        <v>241</v>
      </c>
      <c r="O39" s="183"/>
      <c r="P39" s="183"/>
      <c r="Q39" s="180" t="s">
        <v>352</v>
      </c>
      <c r="R39" s="183" t="s">
        <v>440</v>
      </c>
      <c r="S39" s="176">
        <f t="shared" si="9"/>
        <v>0.77262192606776803</v>
      </c>
      <c r="T39" s="176">
        <f t="shared" si="2"/>
        <v>0.227378073932232</v>
      </c>
      <c r="U39" s="176">
        <f t="shared" si="10"/>
        <v>0</v>
      </c>
      <c r="V39" s="181">
        <f t="shared" si="11"/>
        <v>18977.134906851912</v>
      </c>
      <c r="W39" s="181">
        <f t="shared" si="12"/>
        <v>5584.8588271796471</v>
      </c>
      <c r="X39" s="181">
        <f t="shared" si="13"/>
        <v>0</v>
      </c>
      <c r="Y39" s="185"/>
      <c r="Z39" s="185"/>
      <c r="AA39" s="176">
        <f t="shared" si="28"/>
        <v>1</v>
      </c>
      <c r="AB39" s="182">
        <f t="shared" si="3"/>
        <v>0</v>
      </c>
      <c r="AC39" s="182">
        <f t="shared" si="4"/>
        <v>0</v>
      </c>
      <c r="AD39" s="182">
        <f t="shared" si="5"/>
        <v>18977.134906851912</v>
      </c>
      <c r="AE39" s="76"/>
      <c r="AF39" s="76"/>
      <c r="AG39" s="76"/>
      <c r="AH39" s="76"/>
      <c r="AI39" s="76"/>
      <c r="AJ39" s="76"/>
      <c r="AK39" s="76"/>
      <c r="AL39" s="76"/>
      <c r="AM39" s="120"/>
      <c r="AN39" s="120"/>
      <c r="AO39" s="120"/>
      <c r="AP39" s="120"/>
      <c r="AQ39" s="120"/>
      <c r="AR39" s="120"/>
      <c r="AS39" s="117"/>
      <c r="AT39" s="117">
        <f>+Table3[[#This Row],[Quantity]]</f>
        <v>30</v>
      </c>
      <c r="AU39" s="117"/>
      <c r="AV39" s="117"/>
      <c r="AW39" s="117"/>
      <c r="AX39" s="117"/>
      <c r="AY39" s="117"/>
      <c r="AZ39" s="77"/>
      <c r="BA39" s="77"/>
      <c r="BB39" s="77"/>
      <c r="BC39" s="77"/>
    </row>
    <row r="40" spans="1:55" ht="12.6" customHeight="1" x14ac:dyDescent="0.25">
      <c r="A40" s="76">
        <v>8</v>
      </c>
      <c r="B40" s="145" t="s">
        <v>385</v>
      </c>
      <c r="C40" s="141" t="s">
        <v>397</v>
      </c>
      <c r="D40" s="144" t="s">
        <v>449</v>
      </c>
      <c r="E40" s="141" t="s">
        <v>127</v>
      </c>
      <c r="F40" s="183">
        <v>1</v>
      </c>
      <c r="G40" s="183">
        <v>90</v>
      </c>
      <c r="H40" s="184">
        <v>79325</v>
      </c>
      <c r="I40" s="178">
        <v>3757.1045153141772</v>
      </c>
      <c r="J40" s="178">
        <v>9341.9633424938238</v>
      </c>
      <c r="K40" s="178">
        <v>3757.1045153141772</v>
      </c>
      <c r="L40" s="184">
        <v>5584.8588271796471</v>
      </c>
      <c r="M40" s="184"/>
      <c r="N40" s="183" t="s">
        <v>241</v>
      </c>
      <c r="O40" s="183"/>
      <c r="P40" s="183"/>
      <c r="Q40" s="180" t="s">
        <v>352</v>
      </c>
      <c r="R40" s="183" t="s">
        <v>440</v>
      </c>
      <c r="S40" s="176">
        <f t="shared" si="9"/>
        <v>0.40217504367890439</v>
      </c>
      <c r="T40" s="176">
        <f t="shared" si="2"/>
        <v>0.59782495632109567</v>
      </c>
      <c r="U40" s="176">
        <f t="shared" si="10"/>
        <v>0</v>
      </c>
      <c r="V40" s="181">
        <f t="shared" si="11"/>
        <v>3757.1045153141772</v>
      </c>
      <c r="W40" s="181">
        <f t="shared" si="12"/>
        <v>5584.8588271796471</v>
      </c>
      <c r="X40" s="181">
        <f t="shared" si="13"/>
        <v>0</v>
      </c>
      <c r="Y40" s="185"/>
      <c r="Z40" s="185"/>
      <c r="AA40" s="176">
        <f t="shared" si="28"/>
        <v>1</v>
      </c>
      <c r="AB40" s="182">
        <f t="shared" si="3"/>
        <v>0</v>
      </c>
      <c r="AC40" s="182">
        <f t="shared" si="4"/>
        <v>0</v>
      </c>
      <c r="AD40" s="182">
        <f t="shared" si="5"/>
        <v>3757.1045153141772</v>
      </c>
      <c r="AE40" s="76"/>
      <c r="AF40" s="76"/>
      <c r="AG40" s="76"/>
      <c r="AH40" s="76"/>
      <c r="AI40" s="76"/>
      <c r="AJ40" s="76"/>
      <c r="AK40" s="76"/>
      <c r="AL40" s="76"/>
      <c r="AM40" s="120"/>
      <c r="AN40" s="120"/>
      <c r="AO40" s="120"/>
      <c r="AP40" s="120"/>
      <c r="AQ40" s="120"/>
      <c r="AR40" s="120"/>
      <c r="AS40" s="117"/>
      <c r="AT40" s="117"/>
      <c r="AU40" s="117">
        <f>+Table3[[#This Row],[Quantity]]</f>
        <v>90</v>
      </c>
      <c r="AV40" s="117"/>
      <c r="AW40" s="117"/>
      <c r="AX40" s="117"/>
      <c r="AY40" s="117"/>
      <c r="AZ40" s="77"/>
      <c r="BA40" s="77"/>
      <c r="BB40" s="77"/>
      <c r="BC40" s="77"/>
    </row>
    <row r="41" spans="1:55" ht="12.6" customHeight="1" x14ac:dyDescent="0.25">
      <c r="A41" s="76">
        <v>9</v>
      </c>
      <c r="B41" s="145" t="s">
        <v>384</v>
      </c>
      <c r="C41" s="141" t="s">
        <v>397</v>
      </c>
      <c r="D41" s="144" t="s">
        <v>365</v>
      </c>
      <c r="E41" s="141" t="s">
        <v>127</v>
      </c>
      <c r="F41" s="183">
        <v>1</v>
      </c>
      <c r="G41" s="183">
        <v>50</v>
      </c>
      <c r="H41" s="184">
        <v>19831.25</v>
      </c>
      <c r="I41" s="178">
        <f t="shared" si="0"/>
        <v>15654.602147142405</v>
      </c>
      <c r="J41" s="178">
        <f>+I41+L41+M41</f>
        <v>17220.062361856646</v>
      </c>
      <c r="K41" s="178">
        <f>+Table3[[#This Row],[Cost]]</f>
        <v>15654.602147142405</v>
      </c>
      <c r="L41" s="178">
        <f>+I41*0.05</f>
        <v>782.73010735712023</v>
      </c>
      <c r="M41" s="178">
        <f>+I41*0.05</f>
        <v>782.73010735712023</v>
      </c>
      <c r="N41" s="183" t="s">
        <v>241</v>
      </c>
      <c r="O41" s="183"/>
      <c r="P41" s="183"/>
      <c r="Q41" s="180" t="s">
        <v>352</v>
      </c>
      <c r="R41" s="183" t="s">
        <v>371</v>
      </c>
      <c r="S41" s="176">
        <f t="shared" si="9"/>
        <v>0.90909090909090906</v>
      </c>
      <c r="T41" s="176">
        <f t="shared" si="2"/>
        <v>4.5454545454545449E-2</v>
      </c>
      <c r="U41" s="176">
        <f t="shared" si="10"/>
        <v>4.5454545454545449E-2</v>
      </c>
      <c r="V41" s="181">
        <f t="shared" si="11"/>
        <v>15654.602147142405</v>
      </c>
      <c r="W41" s="181">
        <f t="shared" si="12"/>
        <v>782.73010735712023</v>
      </c>
      <c r="X41" s="181">
        <f t="shared" si="13"/>
        <v>782.73010735712023</v>
      </c>
      <c r="Y41" s="185"/>
      <c r="Z41" s="185"/>
      <c r="AA41" s="176">
        <f t="shared" si="28"/>
        <v>1</v>
      </c>
      <c r="AB41" s="182">
        <f t="shared" si="3"/>
        <v>0</v>
      </c>
      <c r="AC41" s="182">
        <f t="shared" si="4"/>
        <v>0</v>
      </c>
      <c r="AD41" s="182">
        <f t="shared" si="5"/>
        <v>15654.602147142405</v>
      </c>
      <c r="AE41" s="76"/>
      <c r="AF41" s="76"/>
      <c r="AG41" s="76"/>
      <c r="AH41" s="76"/>
      <c r="AI41" s="76"/>
      <c r="AJ41" s="76"/>
      <c r="AK41" s="76"/>
      <c r="AL41" s="76"/>
      <c r="AM41" s="120"/>
      <c r="AN41" s="120"/>
      <c r="AO41" s="120"/>
      <c r="AP41" s="120"/>
      <c r="AQ41" s="120"/>
      <c r="AR41" s="120"/>
      <c r="AS41" s="117"/>
      <c r="AT41" s="117"/>
      <c r="AU41" s="117"/>
      <c r="AV41" s="117"/>
      <c r="AW41" s="117">
        <f>+Table3[[#This Row],[Quantity]]</f>
        <v>50</v>
      </c>
      <c r="AX41" s="117"/>
      <c r="AY41" s="117"/>
      <c r="AZ41" s="77"/>
      <c r="BA41" s="77"/>
      <c r="BB41" s="77"/>
      <c r="BC41" s="77"/>
    </row>
    <row r="42" spans="1:55" ht="12.6" customHeight="1" x14ac:dyDescent="0.25">
      <c r="B42" s="143"/>
      <c r="C42" s="141"/>
      <c r="D42" s="144"/>
      <c r="E42" s="141" t="str">
        <f>IFERROR(VLOOKUP(D42,Table1[],2,FALSE),"")</f>
        <v/>
      </c>
      <c r="F42" s="183"/>
      <c r="G42" s="183"/>
      <c r="H42" s="184"/>
      <c r="I42" s="178">
        <f t="shared" si="0"/>
        <v>0</v>
      </c>
      <c r="J42" s="178">
        <f t="shared" si="8"/>
        <v>0</v>
      </c>
      <c r="K42" s="178">
        <f>+Table3[[#This Row],[Cost]]</f>
        <v>0</v>
      </c>
      <c r="L42" s="184"/>
      <c r="M42" s="184"/>
      <c r="N42" s="183"/>
      <c r="O42" s="183"/>
      <c r="P42" s="183"/>
      <c r="Q42" s="180"/>
      <c r="R42" s="183"/>
      <c r="S42" s="176">
        <f t="shared" si="9"/>
        <v>0</v>
      </c>
      <c r="T42" s="176">
        <f t="shared" si="2"/>
        <v>0</v>
      </c>
      <c r="U42" s="176">
        <f t="shared" si="10"/>
        <v>0</v>
      </c>
      <c r="V42" s="181">
        <f t="shared" si="11"/>
        <v>0</v>
      </c>
      <c r="W42" s="181">
        <f t="shared" si="12"/>
        <v>0</v>
      </c>
      <c r="X42" s="181">
        <f t="shared" si="13"/>
        <v>0</v>
      </c>
      <c r="Y42" s="185"/>
      <c r="Z42" s="185"/>
      <c r="AA42" s="176">
        <f t="shared" si="28"/>
        <v>1</v>
      </c>
      <c r="AB42" s="182">
        <f t="shared" si="3"/>
        <v>0</v>
      </c>
      <c r="AC42" s="182">
        <f t="shared" si="4"/>
        <v>0</v>
      </c>
      <c r="AD42" s="182">
        <f t="shared" si="5"/>
        <v>0</v>
      </c>
      <c r="AE42" s="76"/>
      <c r="AF42" s="76"/>
      <c r="AG42" s="76"/>
      <c r="AH42" s="76"/>
      <c r="AI42" s="76"/>
      <c r="AJ42" s="76"/>
      <c r="AK42" s="76"/>
      <c r="AL42" s="76"/>
      <c r="AM42" s="120"/>
      <c r="AN42" s="120"/>
      <c r="AO42" s="120"/>
      <c r="AP42" s="120"/>
      <c r="AQ42" s="120"/>
      <c r="AR42" s="120"/>
      <c r="AS42" s="117"/>
      <c r="AT42" s="117"/>
      <c r="AU42" s="117"/>
      <c r="AV42" s="117"/>
      <c r="AW42" s="117"/>
      <c r="AX42" s="117"/>
      <c r="AY42" s="117"/>
      <c r="AZ42" s="77"/>
      <c r="BA42" s="77"/>
      <c r="BB42" s="77"/>
      <c r="BC42" s="77"/>
    </row>
    <row r="43" spans="1:55" s="102" customFormat="1" ht="15.6" customHeight="1" x14ac:dyDescent="0.25">
      <c r="A43" s="110"/>
      <c r="B43" s="111" t="s">
        <v>450</v>
      </c>
      <c r="C43" s="110"/>
      <c r="D43" s="110"/>
      <c r="E43" s="110" t="str">
        <f>IFERROR(VLOOKUP(D43,Table1[],2,FALSE),"")</f>
        <v/>
      </c>
      <c r="F43" s="159"/>
      <c r="G43" s="160"/>
      <c r="H43" s="161"/>
      <c r="I43" s="162"/>
      <c r="J43" s="162">
        <f>+J44+J45+J46+J47</f>
        <v>1638840.6483528048</v>
      </c>
      <c r="K43" s="162">
        <f t="shared" ref="K43:AL43" si="29">+K44+K45+K46+K47</f>
        <v>1555099.4632143984</v>
      </c>
      <c r="L43" s="162">
        <f t="shared" si="29"/>
        <v>56112.514472160838</v>
      </c>
      <c r="M43" s="162">
        <f t="shared" si="29"/>
        <v>27628.670666245656</v>
      </c>
      <c r="N43" s="162"/>
      <c r="O43" s="162"/>
      <c r="P43" s="162"/>
      <c r="Q43" s="162"/>
      <c r="R43" s="162"/>
      <c r="S43" s="162"/>
      <c r="T43" s="162"/>
      <c r="U43" s="162"/>
      <c r="V43" s="162">
        <f t="shared" si="29"/>
        <v>1555099.4632143984</v>
      </c>
      <c r="W43" s="162">
        <f t="shared" si="29"/>
        <v>56112.514472160838</v>
      </c>
      <c r="X43" s="162">
        <f t="shared" si="29"/>
        <v>27628.670666245656</v>
      </c>
      <c r="Y43" s="162">
        <f t="shared" si="29"/>
        <v>3</v>
      </c>
      <c r="Z43" s="162">
        <f t="shared" si="29"/>
        <v>0</v>
      </c>
      <c r="AA43" s="162">
        <f t="shared" si="29"/>
        <v>1</v>
      </c>
      <c r="AB43" s="162">
        <f t="shared" si="29"/>
        <v>1002526.0498894854</v>
      </c>
      <c r="AC43" s="162">
        <f t="shared" si="29"/>
        <v>0</v>
      </c>
      <c r="AD43" s="162">
        <f t="shared" si="29"/>
        <v>552573.41332491313</v>
      </c>
      <c r="AE43" s="112">
        <f t="shared" si="29"/>
        <v>0</v>
      </c>
      <c r="AF43" s="112">
        <f t="shared" si="29"/>
        <v>0</v>
      </c>
      <c r="AG43" s="112">
        <f t="shared" si="29"/>
        <v>0</v>
      </c>
      <c r="AH43" s="112">
        <f t="shared" si="29"/>
        <v>0</v>
      </c>
      <c r="AI43" s="112">
        <f t="shared" si="29"/>
        <v>0</v>
      </c>
      <c r="AJ43" s="112">
        <f t="shared" si="29"/>
        <v>0</v>
      </c>
      <c r="AK43" s="112">
        <f t="shared" si="29"/>
        <v>0</v>
      </c>
      <c r="AL43" s="112">
        <f t="shared" si="29"/>
        <v>0</v>
      </c>
      <c r="AM43" s="118"/>
      <c r="AN43" s="118"/>
      <c r="AO43" s="118"/>
      <c r="AP43" s="118"/>
      <c r="AQ43" s="118"/>
      <c r="AR43" s="118"/>
      <c r="AS43" s="118">
        <f>ROUND(+Table3[[#This Row],[Quantity]]/4,0)</f>
        <v>0</v>
      </c>
      <c r="AT43" s="118"/>
      <c r="AU43" s="118"/>
      <c r="AV43" s="118"/>
      <c r="AW43" s="118"/>
      <c r="AX43" s="118"/>
      <c r="AY43" s="118"/>
      <c r="AZ43" s="101"/>
      <c r="BA43" s="101"/>
      <c r="BB43" s="101"/>
      <c r="BC43" s="101"/>
    </row>
    <row r="44" spans="1:55" s="104" customFormat="1" ht="12.6" customHeight="1" x14ac:dyDescent="0.25">
      <c r="A44" s="146" t="s">
        <v>242</v>
      </c>
      <c r="B44" s="147" t="s">
        <v>372</v>
      </c>
      <c r="C44" s="146" t="s">
        <v>398</v>
      </c>
      <c r="D44" s="146" t="s">
        <v>39</v>
      </c>
      <c r="E44" s="146" t="str">
        <f>IFERROR(VLOOKUP(D44,Table1[],2,FALSE),"")</f>
        <v>entities</v>
      </c>
      <c r="F44" s="188">
        <v>1</v>
      </c>
      <c r="G44" s="189">
        <v>100</v>
      </c>
      <c r="H44" s="190">
        <v>490000</v>
      </c>
      <c r="I44" s="191">
        <f t="shared" si="0"/>
        <v>773602.77865487838</v>
      </c>
      <c r="J44" s="191">
        <f>+I44+L44+M44</f>
        <v>812282.9175876223</v>
      </c>
      <c r="K44" s="191">
        <f>+Table3[[#This Row],[Cost]]</f>
        <v>773602.77865487838</v>
      </c>
      <c r="L44" s="191">
        <f>+Table3[[#This Row],[CRI Financing (US$)]]*0.05</f>
        <v>38680.138932743917</v>
      </c>
      <c r="M44" s="191"/>
      <c r="N44" s="192" t="s">
        <v>241</v>
      </c>
      <c r="O44" s="188"/>
      <c r="P44" s="188"/>
      <c r="Q44" s="188" t="s">
        <v>354</v>
      </c>
      <c r="R44" s="193" t="s">
        <v>439</v>
      </c>
      <c r="S44" s="194">
        <f>IFERROR(+I44/$J44,0)</f>
        <v>0.95238095238095233</v>
      </c>
      <c r="T44" s="194">
        <f t="shared" si="2"/>
        <v>4.7619047619047616E-2</v>
      </c>
      <c r="U44" s="194">
        <f>IFERROR(M44/J44,0)</f>
        <v>0</v>
      </c>
      <c r="V44" s="195">
        <f>+S44*J44</f>
        <v>773602.77865487838</v>
      </c>
      <c r="W44" s="195">
        <f>+T44*J44</f>
        <v>38680.138932743917</v>
      </c>
      <c r="X44" s="195">
        <f>+J44*U44</f>
        <v>0</v>
      </c>
      <c r="Y44" s="189">
        <v>1</v>
      </c>
      <c r="Z44" s="189"/>
      <c r="AA44" s="194">
        <f t="shared" si="28"/>
        <v>0</v>
      </c>
      <c r="AB44" s="196">
        <f t="shared" si="3"/>
        <v>773602.77865487838</v>
      </c>
      <c r="AC44" s="196">
        <f t="shared" si="4"/>
        <v>0</v>
      </c>
      <c r="AD44" s="196">
        <f t="shared" si="5"/>
        <v>0</v>
      </c>
      <c r="AE44" s="97"/>
      <c r="AF44" s="97"/>
      <c r="AG44" s="97"/>
      <c r="AH44" s="97"/>
      <c r="AI44" s="97"/>
      <c r="AJ44" s="97"/>
      <c r="AK44" s="97"/>
      <c r="AL44" s="97"/>
      <c r="AM44" s="117"/>
      <c r="AN44" s="117"/>
      <c r="AO44" s="117">
        <v>10</v>
      </c>
      <c r="AP44" s="117"/>
      <c r="AQ44" s="117"/>
      <c r="AR44" s="117">
        <v>20</v>
      </c>
      <c r="AS44" s="117">
        <v>20</v>
      </c>
      <c r="AT44" s="117">
        <v>25</v>
      </c>
      <c r="AU44" s="117"/>
      <c r="AV44" s="117">
        <f>+Table3[[#This Row],[Quantity]]-Table3[[#This Row],[Nov]]-Table3[[#This Row],[ Jan]]-Table3[[#This Row],[ Feb]]-Table3[[#This Row],[ Mar]]</f>
        <v>25</v>
      </c>
      <c r="AW44" s="117"/>
      <c r="AX44" s="117"/>
      <c r="AY44" s="117"/>
      <c r="AZ44" s="77"/>
      <c r="BA44" s="77"/>
      <c r="BB44" s="77"/>
      <c r="BC44" s="77"/>
    </row>
    <row r="45" spans="1:55" s="104" customFormat="1" ht="12.6" customHeight="1" x14ac:dyDescent="0.25">
      <c r="A45" s="146" t="s">
        <v>244</v>
      </c>
      <c r="B45" s="147" t="s">
        <v>373</v>
      </c>
      <c r="C45" s="146" t="s">
        <v>398</v>
      </c>
      <c r="D45" s="146" t="s">
        <v>39</v>
      </c>
      <c r="E45" s="146" t="str">
        <f>IFERROR(VLOOKUP(D45,Table1[],2,FALSE),"")</f>
        <v>entities</v>
      </c>
      <c r="F45" s="188">
        <v>1</v>
      </c>
      <c r="G45" s="189">
        <v>45</v>
      </c>
      <c r="H45" s="190">
        <v>250000</v>
      </c>
      <c r="I45" s="191">
        <f t="shared" si="0"/>
        <v>177612.88285443638</v>
      </c>
      <c r="J45" s="191">
        <f>+I45+L45+M45</f>
        <v>186493.52699715819</v>
      </c>
      <c r="K45" s="191">
        <f>+Table3[[#This Row],[Cost]]</f>
        <v>177612.88285443638</v>
      </c>
      <c r="L45" s="191">
        <f>+Table3[[#This Row],[CRI Financing (US$)]]*0.05</f>
        <v>8880.6441427218197</v>
      </c>
      <c r="M45" s="191"/>
      <c r="N45" s="192" t="s">
        <v>241</v>
      </c>
      <c r="O45" s="188"/>
      <c r="P45" s="188"/>
      <c r="Q45" s="188" t="s">
        <v>354</v>
      </c>
      <c r="R45" s="193" t="s">
        <v>439</v>
      </c>
      <c r="S45" s="194">
        <f>IFERROR(+I45/$J45,0)</f>
        <v>0.95238095238095244</v>
      </c>
      <c r="T45" s="194">
        <f t="shared" si="2"/>
        <v>4.7619047619047623E-2</v>
      </c>
      <c r="U45" s="194">
        <f>IFERROR(M45/J45,0)</f>
        <v>0</v>
      </c>
      <c r="V45" s="195">
        <f>+S45*J45</f>
        <v>177612.88285443638</v>
      </c>
      <c r="W45" s="195">
        <f>+T45*J45</f>
        <v>8880.6441427218197</v>
      </c>
      <c r="X45" s="195">
        <f>+J45*U45</f>
        <v>0</v>
      </c>
      <c r="Y45" s="189">
        <v>1</v>
      </c>
      <c r="Z45" s="189"/>
      <c r="AA45" s="194">
        <f t="shared" si="28"/>
        <v>0</v>
      </c>
      <c r="AB45" s="196">
        <f t="shared" si="3"/>
        <v>177612.88285443638</v>
      </c>
      <c r="AC45" s="196">
        <f t="shared" si="4"/>
        <v>0</v>
      </c>
      <c r="AD45" s="196">
        <f t="shared" si="5"/>
        <v>0</v>
      </c>
      <c r="AE45" s="97"/>
      <c r="AF45" s="97"/>
      <c r="AG45" s="97"/>
      <c r="AH45" s="97"/>
      <c r="AI45" s="97"/>
      <c r="AJ45" s="97"/>
      <c r="AK45" s="97"/>
      <c r="AL45" s="97"/>
      <c r="AM45" s="117"/>
      <c r="AN45" s="117"/>
      <c r="AO45" s="117"/>
      <c r="AP45" s="117">
        <f>ROUND(+Table3[[#This Row],[Quantity]]/4,0)</f>
        <v>11</v>
      </c>
      <c r="AQ45" s="117"/>
      <c r="AR45" s="117"/>
      <c r="AS45" s="117">
        <f>+Table3[[#This Row],[Dec]]</f>
        <v>11</v>
      </c>
      <c r="AT45" s="117"/>
      <c r="AU45" s="117">
        <f>ROUND(+Table3[[#This Row],[Quantity]]/4,0)</f>
        <v>11</v>
      </c>
      <c r="AV45" s="117"/>
      <c r="AW45" s="117">
        <f>+Table3[[#This Row],[Quantity]]-Table3[[#This Row],[Dec]]-Table3[[#This Row],[ Feb]]-Table3[[#This Row],[ Apr]]</f>
        <v>12</v>
      </c>
      <c r="AX45" s="117"/>
      <c r="AY45" s="117"/>
      <c r="AZ45" s="77"/>
      <c r="BA45" s="77"/>
      <c r="BB45" s="77"/>
      <c r="BC45" s="77"/>
    </row>
    <row r="46" spans="1:55" s="104" customFormat="1" ht="12.6" customHeight="1" x14ac:dyDescent="0.25">
      <c r="A46" s="146" t="s">
        <v>245</v>
      </c>
      <c r="B46" s="147" t="s">
        <v>251</v>
      </c>
      <c r="C46" s="146" t="s">
        <v>398</v>
      </c>
      <c r="D46" s="146" t="s">
        <v>39</v>
      </c>
      <c r="E46" s="146" t="str">
        <f>IFERROR(VLOOKUP(D46,Table1[],2,FALSE),"")</f>
        <v>entities</v>
      </c>
      <c r="F46" s="188">
        <v>1</v>
      </c>
      <c r="G46" s="189">
        <v>65</v>
      </c>
      <c r="H46" s="190">
        <v>50000</v>
      </c>
      <c r="I46" s="191">
        <f t="shared" si="0"/>
        <v>51310.388380170509</v>
      </c>
      <c r="J46" s="191">
        <f>+I46+L46+M46</f>
        <v>59862.119776865613</v>
      </c>
      <c r="K46" s="191">
        <f>+Table3[[#This Row],[Cost]]</f>
        <v>51310.388380170509</v>
      </c>
      <c r="L46" s="191">
        <f>+I46*0.166666666666667</f>
        <v>8551.7313966951006</v>
      </c>
      <c r="M46" s="191"/>
      <c r="N46" s="192" t="s">
        <v>241</v>
      </c>
      <c r="O46" s="188"/>
      <c r="P46" s="188"/>
      <c r="Q46" s="188" t="s">
        <v>354</v>
      </c>
      <c r="R46" s="188" t="s">
        <v>252</v>
      </c>
      <c r="S46" s="194">
        <f>IFERROR(+I46/$J46,0)</f>
        <v>0.85714285714285687</v>
      </c>
      <c r="T46" s="194">
        <f t="shared" si="2"/>
        <v>0.14285714285714307</v>
      </c>
      <c r="U46" s="194">
        <f>IFERROR(M46/J46,0)</f>
        <v>0</v>
      </c>
      <c r="V46" s="195">
        <f>+S46*J46</f>
        <v>51310.388380170509</v>
      </c>
      <c r="W46" s="195">
        <f>+T46*J46</f>
        <v>8551.7313966951006</v>
      </c>
      <c r="X46" s="195">
        <f>+J46*U46</f>
        <v>0</v>
      </c>
      <c r="Y46" s="189">
        <v>1</v>
      </c>
      <c r="Z46" s="189"/>
      <c r="AA46" s="194">
        <f t="shared" si="14"/>
        <v>0</v>
      </c>
      <c r="AB46" s="196">
        <f t="shared" si="3"/>
        <v>51310.388380170509</v>
      </c>
      <c r="AC46" s="196">
        <f t="shared" si="4"/>
        <v>0</v>
      </c>
      <c r="AD46" s="196">
        <f t="shared" si="5"/>
        <v>0</v>
      </c>
      <c r="AE46" s="97"/>
      <c r="AF46" s="97"/>
      <c r="AG46" s="97"/>
      <c r="AH46" s="97"/>
      <c r="AI46" s="97"/>
      <c r="AJ46" s="97"/>
      <c r="AK46" s="97"/>
      <c r="AL46" s="97"/>
      <c r="AM46" s="117"/>
      <c r="AN46" s="117"/>
      <c r="AO46" s="117"/>
      <c r="AP46" s="117"/>
      <c r="AQ46" s="117"/>
      <c r="AR46" s="117"/>
      <c r="AS46" s="117"/>
      <c r="AT46" s="117"/>
      <c r="AU46" s="117"/>
      <c r="AV46" s="117"/>
      <c r="AW46" s="117"/>
      <c r="AX46" s="117"/>
      <c r="AY46" s="117"/>
      <c r="AZ46" s="77"/>
      <c r="BA46" s="77"/>
      <c r="BB46" s="77"/>
      <c r="BC46" s="77"/>
    </row>
    <row r="47" spans="1:55" ht="12.6" customHeight="1" x14ac:dyDescent="0.25">
      <c r="A47" s="97" t="s">
        <v>243</v>
      </c>
      <c r="B47" s="145" t="s">
        <v>392</v>
      </c>
      <c r="C47" s="141" t="s">
        <v>398</v>
      </c>
      <c r="D47" s="141" t="s">
        <v>388</v>
      </c>
      <c r="E47" s="141" t="str">
        <f>IFERROR(VLOOKUP(D47,Table1[],2,FALSE),"")</f>
        <v/>
      </c>
      <c r="F47" s="183">
        <v>1</v>
      </c>
      <c r="G47" s="183">
        <v>70</v>
      </c>
      <c r="H47" s="184">
        <v>500000</v>
      </c>
      <c r="I47" s="178">
        <f t="shared" si="0"/>
        <v>552573.41332491313</v>
      </c>
      <c r="J47" s="178">
        <f>+I47+L47+M47</f>
        <v>580202.08399115875</v>
      </c>
      <c r="K47" s="178">
        <f>+Table3[[#This Row],[Cost]]</f>
        <v>552573.41332491313</v>
      </c>
      <c r="L47" s="184"/>
      <c r="M47" s="184">
        <f>+I47*0.05</f>
        <v>27628.670666245656</v>
      </c>
      <c r="N47" s="183" t="s">
        <v>241</v>
      </c>
      <c r="O47" s="183"/>
      <c r="P47" s="183"/>
      <c r="Q47" s="180" t="s">
        <v>354</v>
      </c>
      <c r="R47" s="183" t="s">
        <v>439</v>
      </c>
      <c r="S47" s="176">
        <f>IFERROR(+I47/$J47,0)</f>
        <v>0.95238095238095244</v>
      </c>
      <c r="T47" s="176">
        <f t="shared" si="2"/>
        <v>0</v>
      </c>
      <c r="U47" s="176">
        <f>IFERROR(M47/J47,0)</f>
        <v>4.7619047619047623E-2</v>
      </c>
      <c r="V47" s="181">
        <f>+S47*J47</f>
        <v>552573.41332491313</v>
      </c>
      <c r="W47" s="181">
        <f>+T47*J47</f>
        <v>0</v>
      </c>
      <c r="X47" s="181">
        <f>+J47*U47</f>
        <v>27628.670666245656</v>
      </c>
      <c r="Y47" s="186"/>
      <c r="Z47" s="185"/>
      <c r="AA47" s="176">
        <f t="shared" si="28"/>
        <v>1</v>
      </c>
      <c r="AB47" s="182">
        <f t="shared" si="3"/>
        <v>0</v>
      </c>
      <c r="AC47" s="182">
        <f t="shared" si="4"/>
        <v>0</v>
      </c>
      <c r="AD47" s="182">
        <f t="shared" si="5"/>
        <v>552573.41332491313</v>
      </c>
      <c r="AE47" s="76"/>
      <c r="AF47" s="76"/>
      <c r="AG47" s="76"/>
      <c r="AH47" s="76"/>
      <c r="AI47" s="76"/>
      <c r="AJ47" s="76"/>
      <c r="AK47" s="76"/>
      <c r="AL47" s="76"/>
      <c r="AM47" s="120"/>
      <c r="AN47" s="120"/>
      <c r="AO47" s="120"/>
      <c r="AP47" s="117">
        <f>ROUND(+Table3[[#This Row],[Quantity]]/4,0)</f>
        <v>18</v>
      </c>
      <c r="AQ47" s="117"/>
      <c r="AR47" s="117"/>
      <c r="AS47" s="117">
        <f>+Table3[[#This Row],[Dec]]</f>
        <v>18</v>
      </c>
      <c r="AT47" s="117"/>
      <c r="AU47" s="117">
        <f>ROUND(+Table3[[#This Row],[Quantity]]/4,0)</f>
        <v>18</v>
      </c>
      <c r="AV47" s="117"/>
      <c r="AW47" s="117">
        <f>+Table3[[#This Row],[Quantity]]-Table3[[#This Row],[Dec]]-Table3[[#This Row],[ Feb]]-Table3[[#This Row],[ Apr]]</f>
        <v>16</v>
      </c>
      <c r="AX47" s="117"/>
      <c r="AY47" s="117"/>
      <c r="AZ47" s="77"/>
      <c r="BA47" s="77"/>
      <c r="BB47" s="77"/>
      <c r="BC47" s="77"/>
    </row>
    <row r="48" spans="1:55" s="104" customFormat="1" ht="12.6" customHeight="1" x14ac:dyDescent="0.25">
      <c r="A48" s="76"/>
      <c r="B48" s="78"/>
      <c r="C48" s="97"/>
      <c r="D48" s="97"/>
      <c r="E48" s="97" t="str">
        <f>IFERROR(VLOOKUP(D48,Table1[],2,FALSE),"")</f>
        <v/>
      </c>
      <c r="F48" s="168"/>
      <c r="G48" s="171"/>
      <c r="H48" s="172"/>
      <c r="I48" s="166">
        <f t="shared" si="0"/>
        <v>0</v>
      </c>
      <c r="J48" s="166">
        <f>+I48+L48+M48</f>
        <v>0</v>
      </c>
      <c r="K48" s="166">
        <f>+Table3[[#This Row],[Cost]]</f>
        <v>0</v>
      </c>
      <c r="L48" s="166"/>
      <c r="M48" s="166"/>
      <c r="N48" s="167"/>
      <c r="O48" s="173"/>
      <c r="P48" s="173"/>
      <c r="Q48" s="168"/>
      <c r="R48" s="173"/>
      <c r="S48" s="164">
        <f t="shared" ref="S48" si="30">IFERROR(+I48/$J48,0)</f>
        <v>0</v>
      </c>
      <c r="T48" s="164">
        <f t="shared" ref="T48" si="31">IFERROR(+L48/$J48,0)</f>
        <v>0</v>
      </c>
      <c r="U48" s="164">
        <f t="shared" ref="U48" si="32">IFERROR(M48/J48,0)</f>
        <v>0</v>
      </c>
      <c r="V48" s="169">
        <f t="shared" ref="V48" si="33">+S48*J48</f>
        <v>0</v>
      </c>
      <c r="W48" s="169">
        <f t="shared" ref="W48" si="34">+T48*J48</f>
        <v>0</v>
      </c>
      <c r="X48" s="169">
        <f t="shared" ref="X48" si="35">+J48*U48</f>
        <v>0</v>
      </c>
      <c r="Y48" s="171"/>
      <c r="Z48" s="171"/>
      <c r="AA48" s="164">
        <f t="shared" ref="AA48" si="36">1-Y48-Z48</f>
        <v>1</v>
      </c>
      <c r="AB48" s="170">
        <f t="shared" ref="AB48" si="37">+Y48*$I48</f>
        <v>0</v>
      </c>
      <c r="AC48" s="170">
        <f t="shared" ref="AC48" si="38">+Z48*$I48</f>
        <v>0</v>
      </c>
      <c r="AD48" s="170">
        <f t="shared" ref="AD48" si="39">+AA48*$I48</f>
        <v>0</v>
      </c>
      <c r="AE48" s="97"/>
      <c r="AF48" s="97"/>
      <c r="AG48" s="97"/>
      <c r="AH48" s="97"/>
      <c r="AI48" s="97"/>
      <c r="AJ48" s="97"/>
      <c r="AK48" s="97"/>
      <c r="AL48" s="97"/>
      <c r="AM48" s="117"/>
      <c r="AN48" s="117"/>
      <c r="AO48" s="117"/>
      <c r="AP48" s="117"/>
      <c r="AQ48" s="117"/>
      <c r="AR48" s="117"/>
      <c r="AS48" s="117"/>
      <c r="AT48" s="117"/>
      <c r="AU48" s="117"/>
      <c r="AV48" s="117"/>
      <c r="AW48" s="117"/>
      <c r="AX48" s="117"/>
      <c r="AY48" s="117"/>
      <c r="AZ48" s="77"/>
      <c r="BA48" s="77"/>
      <c r="BB48" s="77"/>
      <c r="BC48" s="77"/>
    </row>
    <row r="49" spans="1:55" s="96" customFormat="1" ht="12.6" customHeight="1" x14ac:dyDescent="0.25">
      <c r="A49" s="86"/>
      <c r="B49" s="87" t="s">
        <v>197</v>
      </c>
      <c r="C49" s="87"/>
      <c r="D49" s="86"/>
      <c r="E49" s="92" t="str">
        <f>IFERROR(VLOOKUP(D49,Table1[],2,FALSE),"")</f>
        <v/>
      </c>
      <c r="F49" s="86"/>
      <c r="G49" s="88"/>
      <c r="H49" s="100"/>
      <c r="I49" s="100">
        <f>SUMIF(N5:N48,"High",I5:I48)</f>
        <v>3008036.4674771074</v>
      </c>
      <c r="J49" s="100">
        <f>+J43+J9</f>
        <v>3306672.4344078586</v>
      </c>
      <c r="K49" s="100">
        <f t="shared" ref="K49:AK49" si="40">+K43+K9</f>
        <v>3008036.4674771074</v>
      </c>
      <c r="L49" s="100">
        <f t="shared" si="40"/>
        <v>197428.19488701902</v>
      </c>
      <c r="M49" s="100">
        <f t="shared" si="40"/>
        <v>101207.77204373224</v>
      </c>
      <c r="N49" s="100">
        <f t="shared" si="40"/>
        <v>0</v>
      </c>
      <c r="O49" s="100">
        <f t="shared" si="40"/>
        <v>0</v>
      </c>
      <c r="P49" s="100">
        <f t="shared" si="40"/>
        <v>0</v>
      </c>
      <c r="Q49" s="100">
        <f t="shared" si="40"/>
        <v>0</v>
      </c>
      <c r="R49" s="100">
        <f t="shared" si="40"/>
        <v>0</v>
      </c>
      <c r="S49" s="100">
        <f t="shared" si="40"/>
        <v>0</v>
      </c>
      <c r="T49" s="100">
        <f t="shared" si="40"/>
        <v>0</v>
      </c>
      <c r="U49" s="100">
        <f t="shared" si="40"/>
        <v>0</v>
      </c>
      <c r="V49" s="100">
        <f t="shared" si="40"/>
        <v>3008036.4674771074</v>
      </c>
      <c r="W49" s="100">
        <f t="shared" si="40"/>
        <v>197428.19488701902</v>
      </c>
      <c r="X49" s="100">
        <f t="shared" si="40"/>
        <v>101207.77204373223</v>
      </c>
      <c r="Y49" s="100">
        <f t="shared" si="40"/>
        <v>3</v>
      </c>
      <c r="Z49" s="100">
        <f t="shared" si="40"/>
        <v>0</v>
      </c>
      <c r="AA49" s="100">
        <f t="shared" si="40"/>
        <v>1</v>
      </c>
      <c r="AB49" s="100">
        <f t="shared" si="40"/>
        <v>1002526.0498894854</v>
      </c>
      <c r="AC49" s="100">
        <f t="shared" si="40"/>
        <v>1001539.3116514051</v>
      </c>
      <c r="AD49" s="100">
        <f t="shared" si="40"/>
        <v>1003971.1059362171</v>
      </c>
      <c r="AE49" s="100">
        <f t="shared" si="40"/>
        <v>0</v>
      </c>
      <c r="AF49" s="100">
        <f t="shared" si="40"/>
        <v>0</v>
      </c>
      <c r="AG49" s="100">
        <f t="shared" si="40"/>
        <v>0</v>
      </c>
      <c r="AH49" s="100">
        <f t="shared" si="40"/>
        <v>0</v>
      </c>
      <c r="AI49" s="100">
        <f t="shared" si="40"/>
        <v>0</v>
      </c>
      <c r="AJ49" s="100">
        <f t="shared" si="40"/>
        <v>0</v>
      </c>
      <c r="AK49" s="100">
        <f t="shared" si="40"/>
        <v>0</v>
      </c>
      <c r="AL49" s="100"/>
      <c r="AM49" s="106"/>
      <c r="AN49" s="106"/>
      <c r="AO49" s="106"/>
      <c r="AP49" s="106"/>
      <c r="AQ49" s="106"/>
      <c r="AR49" s="106"/>
      <c r="AS49" s="106"/>
      <c r="AT49" s="106"/>
      <c r="AU49" s="106"/>
      <c r="AV49" s="106"/>
      <c r="AW49" s="106"/>
      <c r="AX49" s="106"/>
      <c r="AY49" s="106"/>
      <c r="AZ49" s="106"/>
      <c r="BA49" s="106"/>
      <c r="BB49" s="106"/>
      <c r="BC49" s="106"/>
    </row>
    <row r="51" spans="1:55" ht="20.25" customHeight="1" x14ac:dyDescent="0.25">
      <c r="D51" s="251" t="s">
        <v>530</v>
      </c>
      <c r="E51" s="252" t="s">
        <v>531</v>
      </c>
      <c r="F51" s="252" t="s">
        <v>233</v>
      </c>
      <c r="G51" s="253" t="s">
        <v>532</v>
      </c>
      <c r="H51" s="254" t="s">
        <v>197</v>
      </c>
      <c r="L51" s="107"/>
      <c r="M51" s="107"/>
    </row>
    <row r="52" spans="1:55" ht="12.6" customHeight="1" x14ac:dyDescent="0.25">
      <c r="D52" s="243" t="s">
        <v>403</v>
      </c>
      <c r="E52" s="245"/>
      <c r="F52" s="244">
        <v>2000</v>
      </c>
      <c r="G52" s="241"/>
      <c r="H52" s="248">
        <f>+F52+G52</f>
        <v>2000</v>
      </c>
      <c r="L52" s="107"/>
      <c r="M52" s="109"/>
    </row>
    <row r="53" spans="1:55" ht="12.6" customHeight="1" x14ac:dyDescent="0.25">
      <c r="D53" s="243" t="s">
        <v>406</v>
      </c>
      <c r="E53" s="245"/>
      <c r="F53" s="244">
        <v>200</v>
      </c>
      <c r="G53" s="241"/>
      <c r="H53" s="248">
        <f t="shared" ref="H53:H66" si="41">+F53+G53</f>
        <v>200</v>
      </c>
    </row>
    <row r="54" spans="1:55" ht="12.6" customHeight="1" x14ac:dyDescent="0.25">
      <c r="D54" s="243" t="s">
        <v>405</v>
      </c>
      <c r="E54" s="245"/>
      <c r="F54" s="244">
        <v>1500</v>
      </c>
      <c r="G54" s="241"/>
      <c r="H54" s="248">
        <f t="shared" si="41"/>
        <v>1500</v>
      </c>
      <c r="AC54" s="84">
        <f>2000000-AB49-AC49</f>
        <v>-4065.3615408904152</v>
      </c>
    </row>
    <row r="55" spans="1:55" ht="12.6" customHeight="1" x14ac:dyDescent="0.25">
      <c r="D55" s="243" t="s">
        <v>434</v>
      </c>
      <c r="E55" s="245"/>
      <c r="F55" s="244">
        <v>35</v>
      </c>
      <c r="G55" s="241"/>
      <c r="H55" s="248">
        <f t="shared" si="41"/>
        <v>35</v>
      </c>
    </row>
    <row r="56" spans="1:55" ht="12.6" customHeight="1" x14ac:dyDescent="0.25">
      <c r="D56" s="243" t="s">
        <v>401</v>
      </c>
      <c r="E56" s="245"/>
      <c r="F56" s="244">
        <v>10</v>
      </c>
      <c r="G56" s="241"/>
      <c r="H56" s="248">
        <f t="shared" si="41"/>
        <v>10</v>
      </c>
    </row>
    <row r="57" spans="1:55" ht="12.6" customHeight="1" x14ac:dyDescent="0.25">
      <c r="D57" s="243" t="s">
        <v>402</v>
      </c>
      <c r="E57" s="245"/>
      <c r="F57" s="244">
        <v>30</v>
      </c>
      <c r="G57" s="241"/>
      <c r="H57" s="248">
        <f t="shared" si="41"/>
        <v>30</v>
      </c>
    </row>
    <row r="58" spans="1:55" ht="12.6" customHeight="1" x14ac:dyDescent="0.25">
      <c r="D58" s="247" t="s">
        <v>533</v>
      </c>
      <c r="E58" s="245"/>
      <c r="F58" s="241">
        <f>5*5/0.25</f>
        <v>100</v>
      </c>
      <c r="G58" s="241"/>
      <c r="H58" s="248">
        <f t="shared" si="41"/>
        <v>100</v>
      </c>
    </row>
    <row r="59" spans="1:55" ht="12.6" customHeight="1" x14ac:dyDescent="0.25">
      <c r="D59" s="247" t="s">
        <v>535</v>
      </c>
      <c r="E59" s="245"/>
      <c r="F59" s="241"/>
      <c r="G59" s="241">
        <v>900</v>
      </c>
      <c r="H59" s="248">
        <f t="shared" si="41"/>
        <v>900</v>
      </c>
    </row>
    <row r="60" spans="1:55" ht="12.6" customHeight="1" x14ac:dyDescent="0.25">
      <c r="D60" s="247" t="s">
        <v>536</v>
      </c>
      <c r="E60" s="241">
        <f>100*25</f>
        <v>2500</v>
      </c>
      <c r="F60" s="245"/>
      <c r="G60" s="241"/>
      <c r="H60" s="248">
        <f t="shared" si="41"/>
        <v>0</v>
      </c>
    </row>
    <row r="61" spans="1:55" ht="12.6" customHeight="1" x14ac:dyDescent="0.25">
      <c r="A61" s="158"/>
      <c r="D61" s="247" t="s">
        <v>541</v>
      </c>
      <c r="E61" s="241"/>
      <c r="F61" s="245">
        <v>2200</v>
      </c>
      <c r="G61" s="241"/>
      <c r="H61" s="248">
        <f t="shared" si="41"/>
        <v>2200</v>
      </c>
      <c r="O61" s="158"/>
      <c r="P61" s="158"/>
      <c r="Q61" s="158"/>
      <c r="R61" s="158"/>
    </row>
    <row r="62" spans="1:55" ht="12.6" customHeight="1" x14ac:dyDescent="0.25">
      <c r="A62" s="158"/>
      <c r="D62" s="247" t="s">
        <v>539</v>
      </c>
      <c r="E62" s="241"/>
      <c r="F62" s="245">
        <v>325</v>
      </c>
      <c r="G62" s="241"/>
      <c r="H62" s="248">
        <f t="shared" si="41"/>
        <v>325</v>
      </c>
      <c r="O62" s="158"/>
      <c r="P62" s="158"/>
      <c r="Q62" s="158"/>
      <c r="R62" s="158"/>
    </row>
    <row r="63" spans="1:55" ht="12.6" customHeight="1" x14ac:dyDescent="0.25">
      <c r="A63" s="158"/>
      <c r="D63" s="247" t="s">
        <v>540</v>
      </c>
      <c r="E63" s="241"/>
      <c r="F63" s="245">
        <v>1700</v>
      </c>
      <c r="G63" s="241"/>
      <c r="H63" s="248">
        <f t="shared" si="41"/>
        <v>1700</v>
      </c>
      <c r="O63" s="158"/>
      <c r="P63" s="158"/>
      <c r="Q63" s="158"/>
      <c r="R63" s="158"/>
    </row>
    <row r="64" spans="1:55" ht="12.6" customHeight="1" x14ac:dyDescent="0.25">
      <c r="A64" s="158"/>
      <c r="D64" s="247" t="s">
        <v>538</v>
      </c>
      <c r="E64" s="241"/>
      <c r="F64" s="245">
        <v>300</v>
      </c>
      <c r="G64" s="241"/>
      <c r="H64" s="248">
        <f t="shared" si="41"/>
        <v>300</v>
      </c>
      <c r="O64" s="158"/>
      <c r="P64" s="158"/>
      <c r="Q64" s="158"/>
      <c r="R64" s="158"/>
    </row>
    <row r="65" spans="4:8" ht="12.6" customHeight="1" x14ac:dyDescent="0.25">
      <c r="D65" s="247" t="s">
        <v>537</v>
      </c>
      <c r="E65" s="245"/>
      <c r="F65" s="241"/>
      <c r="G65" s="241">
        <v>500</v>
      </c>
      <c r="H65" s="248">
        <f t="shared" si="41"/>
        <v>500</v>
      </c>
    </row>
    <row r="66" spans="4:8" ht="12.6" customHeight="1" x14ac:dyDescent="0.25">
      <c r="D66" s="247" t="s">
        <v>534</v>
      </c>
      <c r="E66" s="245"/>
      <c r="F66" s="241">
        <v>9800</v>
      </c>
      <c r="G66" s="241"/>
      <c r="H66" s="248">
        <f t="shared" si="41"/>
        <v>9800</v>
      </c>
    </row>
    <row r="67" spans="4:8" ht="12.6" customHeight="1" x14ac:dyDescent="0.25">
      <c r="D67" s="246" t="s">
        <v>197</v>
      </c>
      <c r="E67" s="249">
        <f>SUM(E52:E66)</f>
        <v>2500</v>
      </c>
      <c r="F67" s="249">
        <f>SUM(F52:F65)</f>
        <v>8400</v>
      </c>
      <c r="G67" s="249">
        <f>SUM(G52:G66)</f>
        <v>1400</v>
      </c>
      <c r="H67" s="250">
        <f>SUM(H52:H65)</f>
        <v>9800</v>
      </c>
    </row>
  </sheetData>
  <mergeCells count="14">
    <mergeCell ref="B1:B2"/>
    <mergeCell ref="A1:A2"/>
    <mergeCell ref="AE3:AP3"/>
    <mergeCell ref="AR3:BC3"/>
    <mergeCell ref="AE1:AP1"/>
    <mergeCell ref="AR1:BC1"/>
    <mergeCell ref="E1:E2"/>
    <mergeCell ref="G1:G2"/>
    <mergeCell ref="H1:H2"/>
    <mergeCell ref="J1:J2"/>
    <mergeCell ref="K1:K2"/>
    <mergeCell ref="L1:L2"/>
    <mergeCell ref="M1:M2"/>
    <mergeCell ref="F1:F2"/>
  </mergeCells>
  <phoneticPr fontId="8" type="noConversion"/>
  <conditionalFormatting sqref="N43 N5:N32">
    <cfRule type="cellIs" dxfId="28" priority="20" operator="equal">
      <formula>"Low"</formula>
    </cfRule>
  </conditionalFormatting>
  <conditionalFormatting sqref="N44:N46">
    <cfRule type="cellIs" dxfId="27" priority="19" operator="equal">
      <formula>"Low"</formula>
    </cfRule>
  </conditionalFormatting>
  <conditionalFormatting sqref="N33">
    <cfRule type="cellIs" dxfId="26" priority="16" operator="equal">
      <formula>"Low"</formula>
    </cfRule>
  </conditionalFormatting>
  <conditionalFormatting sqref="AE5:BC48">
    <cfRule type="cellIs" dxfId="25" priority="15" operator="greaterThan">
      <formula>0</formula>
    </cfRule>
  </conditionalFormatting>
  <conditionalFormatting sqref="I2 N2:XFD2 C2:D2 A1:XFD1 A3:XFD52 A68:XFD1048576 G60:G64 A60:E64 A65:G67 A53:G59 H53:XFD67">
    <cfRule type="cellIs" dxfId="24" priority="4" operator="equal">
      <formula>0</formula>
    </cfRule>
  </conditionalFormatting>
  <conditionalFormatting sqref="N26:N27">
    <cfRule type="cellIs" dxfId="23" priority="3" operator="equal">
      <formula>"Low"</formula>
    </cfRule>
  </conditionalFormatting>
  <conditionalFormatting sqref="N28">
    <cfRule type="cellIs" dxfId="22" priority="2" operator="equal">
      <formula>"Low"</formula>
    </cfRule>
  </conditionalFormatting>
  <conditionalFormatting sqref="AE28:BC28">
    <cfRule type="cellIs" dxfId="21" priority="1" operator="greaterThan">
      <formula>0</formula>
    </cfRule>
  </conditionalFormatting>
  <dataValidations count="2">
    <dataValidation allowBlank="1" sqref="D43:D46 D4:D33 D49:D51 D58:D1048576" xr:uid="{FF7FF8DC-0754-47B0-B14C-7E4E3B9E5A77}"/>
    <dataValidation type="list" allowBlank="1" showInputMessage="1" showErrorMessage="1" sqref="N44:N46 N5:N8 N10:N33" xr:uid="{CC2B5741-6B80-443B-8F03-4BAA7BE6284B}">
      <formula1>"High,Low"</formula1>
    </dataValidation>
  </dataValidations>
  <pageMargins left="0.7" right="0.7" top="0.75" bottom="0.75" header="0.3" footer="0.3"/>
  <pageSetup orientation="portrait" r:id="rId1"/>
  <ignoredErrors>
    <ignoredError sqref="J43:K48 H37:K37 AS44 S41:BD42 S45:BD48 S44:AR44 AT44:BD44 V43:BD43 E34:E38 F40 F39 H40:K40 E41 E39:E40 H39:K39 J9:K9 AB9:AD9" calculatedColumn="1"/>
    <ignoredError sqref="F67:G67" formula="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86226-6E21-4091-815F-668F6953EE2B}">
  <dimension ref="A1:Y266"/>
  <sheetViews>
    <sheetView showGridLines="0" zoomScale="115" zoomScaleNormal="115" workbookViewId="0">
      <selection activeCell="A9" sqref="A9"/>
    </sheetView>
  </sheetViews>
  <sheetFormatPr defaultColWidth="106.7109375" defaultRowHeight="17.45" customHeight="1" x14ac:dyDescent="0.25"/>
  <cols>
    <col min="1" max="1" width="102.28515625" style="197" customWidth="1"/>
    <col min="2" max="2" width="13.7109375" style="210" customWidth="1"/>
    <col min="3" max="3" width="59.28515625" style="197" customWidth="1"/>
    <col min="4" max="4" width="55.28515625" style="197" bestFit="1" customWidth="1"/>
    <col min="5" max="5" width="13.7109375" style="197" bestFit="1" customWidth="1"/>
    <col min="6" max="6" width="13.140625" style="197" customWidth="1"/>
    <col min="7" max="7" width="14.7109375" style="197" customWidth="1"/>
    <col min="8" max="9" width="9.28515625" style="197" bestFit="1" customWidth="1"/>
    <col min="10" max="10" width="10.140625" style="197" bestFit="1" customWidth="1"/>
    <col min="11" max="11" width="11.28515625" style="197" bestFit="1" customWidth="1"/>
    <col min="12" max="12" width="23.28515625" style="197" bestFit="1" customWidth="1"/>
    <col min="13" max="13" width="29.5703125" style="197" bestFit="1" customWidth="1"/>
    <col min="14" max="14" width="11.28515625" style="204" customWidth="1"/>
    <col min="15" max="15" width="9.7109375" style="204" bestFit="1" customWidth="1"/>
    <col min="16" max="16" width="11.42578125" style="204" bestFit="1" customWidth="1"/>
    <col min="17" max="17" width="14.5703125" style="204" bestFit="1" customWidth="1"/>
    <col min="18" max="18" width="17.85546875" style="204" bestFit="1" customWidth="1"/>
    <col min="19" max="19" width="18.140625" style="204" bestFit="1" customWidth="1"/>
    <col min="20" max="20" width="106.7109375" style="197"/>
    <col min="21" max="21" width="10.7109375" style="208" bestFit="1" customWidth="1"/>
    <col min="22" max="16384" width="106.7109375" style="197"/>
  </cols>
  <sheetData>
    <row r="1" spans="1:21" ht="17.45" customHeight="1" x14ac:dyDescent="0.25">
      <c r="A1" s="104" t="s">
        <v>492</v>
      </c>
      <c r="B1" s="97" t="s">
        <v>504</v>
      </c>
      <c r="C1" s="104" t="s">
        <v>491</v>
      </c>
      <c r="D1" s="104" t="s">
        <v>489</v>
      </c>
      <c r="E1" s="104" t="s">
        <v>493</v>
      </c>
      <c r="F1" s="104" t="s">
        <v>494</v>
      </c>
      <c r="G1" s="104" t="s">
        <v>490</v>
      </c>
      <c r="H1" s="104" t="s">
        <v>498</v>
      </c>
      <c r="I1" s="104" t="s">
        <v>495</v>
      </c>
      <c r="J1" s="104" t="s">
        <v>496</v>
      </c>
      <c r="K1" s="104" t="s">
        <v>497</v>
      </c>
      <c r="L1" s="104" t="s">
        <v>488</v>
      </c>
      <c r="M1" s="104" t="s">
        <v>484</v>
      </c>
      <c r="N1" s="201" t="s">
        <v>481</v>
      </c>
      <c r="O1" s="201" t="s">
        <v>482</v>
      </c>
      <c r="P1" s="201" t="s">
        <v>483</v>
      </c>
      <c r="Q1" s="201" t="s">
        <v>485</v>
      </c>
      <c r="R1" s="201" t="s">
        <v>486</v>
      </c>
      <c r="S1" s="201" t="s">
        <v>487</v>
      </c>
      <c r="U1" s="213" t="s">
        <v>503</v>
      </c>
    </row>
    <row r="2" spans="1:21" ht="17.45" customHeight="1" x14ac:dyDescent="0.25">
      <c r="A2" s="104" t="s">
        <v>436</v>
      </c>
      <c r="B2" s="214" t="s">
        <v>505</v>
      </c>
      <c r="C2" s="104" t="s">
        <v>397</v>
      </c>
      <c r="D2" s="104" t="s">
        <v>27</v>
      </c>
      <c r="E2" s="104" t="s">
        <v>128</v>
      </c>
      <c r="F2" s="198">
        <v>750000</v>
      </c>
      <c r="G2" s="199">
        <v>17761.2883</v>
      </c>
      <c r="H2" s="199">
        <v>22201.610400000001</v>
      </c>
      <c r="I2" s="199">
        <v>17761.2883</v>
      </c>
      <c r="J2" s="199">
        <v>4440.3221000000003</v>
      </c>
      <c r="K2" s="200"/>
      <c r="L2" s="208" t="s">
        <v>500</v>
      </c>
      <c r="M2" s="85" t="s">
        <v>371</v>
      </c>
      <c r="N2" s="201">
        <v>0.8</v>
      </c>
      <c r="O2" s="201">
        <v>0.2</v>
      </c>
      <c r="P2" s="201">
        <v>0</v>
      </c>
      <c r="Q2" s="202"/>
      <c r="R2" s="201">
        <v>1</v>
      </c>
      <c r="S2" s="201">
        <v>0</v>
      </c>
    </row>
    <row r="3" spans="1:21" ht="17.45" customHeight="1" x14ac:dyDescent="0.25">
      <c r="A3" s="104" t="s">
        <v>399</v>
      </c>
      <c r="B3" s="97" t="s">
        <v>506</v>
      </c>
      <c r="C3" s="104" t="s">
        <v>397</v>
      </c>
      <c r="D3" s="104" t="s">
        <v>28</v>
      </c>
      <c r="E3" s="104" t="s">
        <v>130</v>
      </c>
      <c r="F3" s="198">
        <v>60000</v>
      </c>
      <c r="G3" s="199">
        <v>28418.061300000001</v>
      </c>
      <c r="H3" s="199">
        <v>35522.5766</v>
      </c>
      <c r="I3" s="199">
        <v>28418.061300000001</v>
      </c>
      <c r="J3" s="199">
        <v>7104.5153</v>
      </c>
      <c r="K3" s="200"/>
      <c r="L3" s="208" t="s">
        <v>500</v>
      </c>
      <c r="M3" s="85" t="s">
        <v>371</v>
      </c>
      <c r="N3" s="201">
        <v>0.8</v>
      </c>
      <c r="O3" s="201">
        <v>0.2</v>
      </c>
      <c r="P3" s="201">
        <v>0</v>
      </c>
      <c r="Q3" s="202"/>
      <c r="R3" s="201">
        <v>1</v>
      </c>
      <c r="S3" s="201">
        <v>0</v>
      </c>
    </row>
    <row r="4" spans="1:21" ht="17.45" customHeight="1" x14ac:dyDescent="0.25">
      <c r="A4" s="104" t="s">
        <v>400</v>
      </c>
      <c r="B4" s="97" t="s">
        <v>507</v>
      </c>
      <c r="C4" s="104" t="s">
        <v>397</v>
      </c>
      <c r="D4" s="104" t="s">
        <v>28</v>
      </c>
      <c r="E4" s="104" t="s">
        <v>130</v>
      </c>
      <c r="F4" s="198">
        <v>1250</v>
      </c>
      <c r="G4" s="199">
        <v>2960.2147</v>
      </c>
      <c r="H4" s="199">
        <v>3700.2683999999999</v>
      </c>
      <c r="I4" s="199">
        <v>2960.2147</v>
      </c>
      <c r="J4" s="85">
        <v>740.05370000000005</v>
      </c>
      <c r="K4" s="200"/>
      <c r="L4" s="208" t="s">
        <v>500</v>
      </c>
      <c r="M4" s="85" t="s">
        <v>371</v>
      </c>
      <c r="N4" s="201">
        <v>0.8</v>
      </c>
      <c r="O4" s="201">
        <v>0.2</v>
      </c>
      <c r="P4" s="201">
        <v>0</v>
      </c>
      <c r="Q4" s="202"/>
      <c r="R4" s="201">
        <v>1</v>
      </c>
      <c r="S4" s="201">
        <v>0</v>
      </c>
    </row>
    <row r="5" spans="1:21" ht="17.45" customHeight="1" x14ac:dyDescent="0.25">
      <c r="A5" s="104" t="s">
        <v>434</v>
      </c>
      <c r="B5" s="97" t="s">
        <v>508</v>
      </c>
      <c r="C5" s="104" t="s">
        <v>397</v>
      </c>
      <c r="D5" s="104" t="s">
        <v>27</v>
      </c>
      <c r="E5" s="104" t="s">
        <v>128</v>
      </c>
      <c r="F5" s="198">
        <v>7000000</v>
      </c>
      <c r="G5" s="199">
        <v>82886.012000000002</v>
      </c>
      <c r="H5" s="199">
        <v>91174.613200000007</v>
      </c>
      <c r="I5" s="199">
        <v>82886.012000000002</v>
      </c>
      <c r="J5" s="199">
        <v>8288.6011999999992</v>
      </c>
      <c r="K5" s="200"/>
      <c r="L5" s="208" t="s">
        <v>500</v>
      </c>
      <c r="M5" s="85" t="s">
        <v>371</v>
      </c>
      <c r="N5" s="201">
        <v>0.90910000000000002</v>
      </c>
      <c r="O5" s="201">
        <v>9.0899999999999995E-2</v>
      </c>
      <c r="P5" s="201">
        <v>0</v>
      </c>
      <c r="Q5" s="202"/>
      <c r="R5" s="201">
        <v>1</v>
      </c>
      <c r="S5" s="201">
        <v>0</v>
      </c>
    </row>
    <row r="6" spans="1:21" ht="17.45" customHeight="1" x14ac:dyDescent="0.25">
      <c r="A6" s="104" t="s">
        <v>401</v>
      </c>
      <c r="B6" s="97" t="s">
        <v>509</v>
      </c>
      <c r="C6" s="104" t="s">
        <v>397</v>
      </c>
      <c r="D6" s="104" t="s">
        <v>28</v>
      </c>
      <c r="E6" s="104" t="s">
        <v>130</v>
      </c>
      <c r="F6" s="198">
        <v>160000</v>
      </c>
      <c r="G6" s="199">
        <v>63151.247199999998</v>
      </c>
      <c r="H6" s="199">
        <v>75781.496700000003</v>
      </c>
      <c r="I6" s="199">
        <v>63151.247199999998</v>
      </c>
      <c r="J6" s="199">
        <v>12630.249400000001</v>
      </c>
      <c r="K6" s="200"/>
      <c r="L6" s="208" t="s">
        <v>500</v>
      </c>
      <c r="M6" s="85" t="s">
        <v>371</v>
      </c>
      <c r="N6" s="201">
        <v>0.83330000000000004</v>
      </c>
      <c r="O6" s="201">
        <v>0.16669999999999999</v>
      </c>
      <c r="P6" s="201">
        <v>0</v>
      </c>
      <c r="Q6" s="202"/>
      <c r="R6" s="201">
        <v>1</v>
      </c>
      <c r="S6" s="201">
        <v>0</v>
      </c>
    </row>
    <row r="7" spans="1:21" ht="17.45" customHeight="1" x14ac:dyDescent="0.25">
      <c r="A7" s="104" t="s">
        <v>402</v>
      </c>
      <c r="B7" s="97" t="s">
        <v>510</v>
      </c>
      <c r="C7" s="104" t="s">
        <v>397</v>
      </c>
      <c r="D7" s="104" t="s">
        <v>28</v>
      </c>
      <c r="E7" s="104" t="s">
        <v>130</v>
      </c>
      <c r="F7" s="198">
        <v>37500</v>
      </c>
      <c r="G7" s="199">
        <v>29602.147099999998</v>
      </c>
      <c r="H7" s="199">
        <v>38482.791299999997</v>
      </c>
      <c r="I7" s="199">
        <v>29602.147099999998</v>
      </c>
      <c r="J7" s="199">
        <v>5920.4294</v>
      </c>
      <c r="K7" s="199">
        <v>2960.2147</v>
      </c>
      <c r="L7" s="208" t="s">
        <v>500</v>
      </c>
      <c r="M7" s="85" t="s">
        <v>371</v>
      </c>
      <c r="N7" s="201">
        <v>0.76919999999999999</v>
      </c>
      <c r="O7" s="201">
        <v>0.15379999999999999</v>
      </c>
      <c r="P7" s="201">
        <v>7.6899999999999996E-2</v>
      </c>
      <c r="Q7" s="202"/>
      <c r="R7" s="201">
        <v>1</v>
      </c>
      <c r="S7" s="201">
        <v>0</v>
      </c>
    </row>
    <row r="8" spans="1:21" ht="17.45" customHeight="1" x14ac:dyDescent="0.25">
      <c r="A8" s="104" t="s">
        <v>403</v>
      </c>
      <c r="B8" s="97" t="s">
        <v>511</v>
      </c>
      <c r="C8" s="104" t="s">
        <v>397</v>
      </c>
      <c r="D8" s="104" t="s">
        <v>13</v>
      </c>
      <c r="E8" s="104" t="s">
        <v>122</v>
      </c>
      <c r="F8" s="198">
        <v>2000</v>
      </c>
      <c r="G8" s="199">
        <v>157878.11809999999</v>
      </c>
      <c r="H8" s="199">
        <v>181559.8358</v>
      </c>
      <c r="I8" s="199">
        <v>157878.11809999999</v>
      </c>
      <c r="J8" s="199">
        <v>15787.811799999999</v>
      </c>
      <c r="K8" s="199">
        <v>7893.9058999999997</v>
      </c>
      <c r="L8" s="208" t="s">
        <v>500</v>
      </c>
      <c r="M8" s="85" t="s">
        <v>371</v>
      </c>
      <c r="N8" s="201">
        <v>0.86960000000000004</v>
      </c>
      <c r="O8" s="201">
        <v>8.6999999999999994E-2</v>
      </c>
      <c r="P8" s="201">
        <v>4.3499999999999997E-2</v>
      </c>
      <c r="Q8" s="202"/>
      <c r="R8" s="201">
        <v>1</v>
      </c>
      <c r="S8" s="201">
        <v>0</v>
      </c>
    </row>
    <row r="9" spans="1:21" ht="17.45" customHeight="1" x14ac:dyDescent="0.25">
      <c r="A9" s="104" t="s">
        <v>406</v>
      </c>
      <c r="B9" s="97" t="s">
        <v>512</v>
      </c>
      <c r="C9" s="104" t="s">
        <v>397</v>
      </c>
      <c r="D9" s="104" t="s">
        <v>13</v>
      </c>
      <c r="E9" s="104" t="s">
        <v>122</v>
      </c>
      <c r="F9" s="104">
        <v>200</v>
      </c>
      <c r="G9" s="199">
        <v>126302.4945</v>
      </c>
      <c r="H9" s="199">
        <v>145247.86859999999</v>
      </c>
      <c r="I9" s="199">
        <v>126302.4945</v>
      </c>
      <c r="J9" s="199">
        <v>12630.249400000001</v>
      </c>
      <c r="K9" s="199">
        <v>6315.1247000000003</v>
      </c>
      <c r="L9" s="208" t="s">
        <v>500</v>
      </c>
      <c r="M9" s="85" t="s">
        <v>371</v>
      </c>
      <c r="N9" s="201">
        <v>0.86960000000000004</v>
      </c>
      <c r="O9" s="201">
        <v>8.6999999999999994E-2</v>
      </c>
      <c r="P9" s="201">
        <v>4.3499999999999997E-2</v>
      </c>
      <c r="Q9" s="202"/>
      <c r="R9" s="201">
        <v>1</v>
      </c>
      <c r="S9" s="201">
        <v>0</v>
      </c>
    </row>
    <row r="10" spans="1:21" ht="17.45" customHeight="1" x14ac:dyDescent="0.25">
      <c r="A10" s="104" t="s">
        <v>405</v>
      </c>
      <c r="B10" s="97" t="s">
        <v>513</v>
      </c>
      <c r="C10" s="104" t="s">
        <v>397</v>
      </c>
      <c r="D10" s="104" t="s">
        <v>13</v>
      </c>
      <c r="E10" s="104" t="s">
        <v>122</v>
      </c>
      <c r="F10" s="198">
        <v>1500</v>
      </c>
      <c r="G10" s="199">
        <v>142090.3063</v>
      </c>
      <c r="H10" s="199">
        <v>163403.85219999999</v>
      </c>
      <c r="I10" s="199">
        <v>142090.3063</v>
      </c>
      <c r="J10" s="199">
        <v>14209.0306</v>
      </c>
      <c r="K10" s="199">
        <v>7104.5153</v>
      </c>
      <c r="L10" s="208" t="s">
        <v>500</v>
      </c>
      <c r="M10" s="85" t="s">
        <v>371</v>
      </c>
      <c r="N10" s="201">
        <v>0.86960000000000004</v>
      </c>
      <c r="O10" s="201">
        <v>8.6999999999999994E-2</v>
      </c>
      <c r="P10" s="201">
        <v>4.3499999999999997E-2</v>
      </c>
      <c r="Q10" s="202"/>
      <c r="R10" s="201">
        <v>1</v>
      </c>
      <c r="S10" s="201">
        <v>0</v>
      </c>
    </row>
    <row r="11" spans="1:21" ht="17.45" customHeight="1" x14ac:dyDescent="0.25">
      <c r="A11" s="104" t="s">
        <v>435</v>
      </c>
      <c r="B11" s="97" t="s">
        <v>514</v>
      </c>
      <c r="C11" s="104" t="s">
        <v>397</v>
      </c>
      <c r="D11" s="104" t="s">
        <v>105</v>
      </c>
      <c r="E11" s="104" t="s">
        <v>178</v>
      </c>
      <c r="F11" s="104">
        <v>1</v>
      </c>
      <c r="G11" s="199">
        <v>34733.186000000002</v>
      </c>
      <c r="H11" s="199">
        <v>34733.186000000002</v>
      </c>
      <c r="I11" s="199">
        <v>34733.186000000002</v>
      </c>
      <c r="J11" s="200"/>
      <c r="K11" s="200"/>
      <c r="L11" s="208" t="s">
        <v>500</v>
      </c>
      <c r="M11" s="85" t="s">
        <v>371</v>
      </c>
      <c r="N11" s="201">
        <v>1</v>
      </c>
      <c r="O11" s="201">
        <v>0</v>
      </c>
      <c r="P11" s="201">
        <v>0</v>
      </c>
      <c r="Q11" s="202"/>
      <c r="R11" s="201">
        <v>1</v>
      </c>
      <c r="S11" s="201">
        <v>0</v>
      </c>
    </row>
    <row r="12" spans="1:21" ht="17.45" customHeight="1" x14ac:dyDescent="0.25">
      <c r="A12" s="104" t="s">
        <v>437</v>
      </c>
      <c r="B12" s="97" t="s">
        <v>515</v>
      </c>
      <c r="C12" s="104" t="s">
        <v>397</v>
      </c>
      <c r="D12" s="104" t="s">
        <v>113</v>
      </c>
      <c r="E12" s="104" t="s">
        <v>183</v>
      </c>
      <c r="F12" s="104">
        <v>1</v>
      </c>
      <c r="G12" s="199">
        <v>39469.529499999997</v>
      </c>
      <c r="H12" s="199">
        <v>39469.529499999997</v>
      </c>
      <c r="I12" s="199">
        <v>39469.529499999997</v>
      </c>
      <c r="J12" s="200"/>
      <c r="K12" s="200"/>
      <c r="L12" s="208" t="s">
        <v>500</v>
      </c>
      <c r="M12" s="85" t="s">
        <v>371</v>
      </c>
      <c r="N12" s="201">
        <v>1</v>
      </c>
      <c r="O12" s="201">
        <v>0</v>
      </c>
      <c r="P12" s="201">
        <v>0</v>
      </c>
      <c r="Q12" s="202"/>
      <c r="R12" s="201">
        <v>1</v>
      </c>
      <c r="S12" s="201">
        <v>0</v>
      </c>
      <c r="U12" s="215"/>
    </row>
    <row r="13" spans="1:21" ht="17.45" customHeight="1" x14ac:dyDescent="0.25">
      <c r="A13" s="104" t="s">
        <v>438</v>
      </c>
      <c r="B13" s="97" t="s">
        <v>516</v>
      </c>
      <c r="C13" s="104" t="s">
        <v>397</v>
      </c>
      <c r="D13" s="104" t="s">
        <v>114</v>
      </c>
      <c r="E13" s="104" t="s">
        <v>128</v>
      </c>
      <c r="F13" s="104">
        <v>5</v>
      </c>
      <c r="G13" s="199">
        <v>94726.870899999994</v>
      </c>
      <c r="H13" s="199">
        <v>104199.5579</v>
      </c>
      <c r="I13" s="199">
        <v>94726.870899999994</v>
      </c>
      <c r="J13" s="199">
        <v>4736.3434999999999</v>
      </c>
      <c r="K13" s="199">
        <v>4736.3434999999999</v>
      </c>
      <c r="L13" s="208" t="s">
        <v>500</v>
      </c>
      <c r="M13" s="85" t="s">
        <v>371</v>
      </c>
      <c r="N13" s="201">
        <v>0.90910000000000002</v>
      </c>
      <c r="O13" s="201">
        <v>4.5499999999999999E-2</v>
      </c>
      <c r="P13" s="201">
        <v>4.5499999999999999E-2</v>
      </c>
      <c r="Q13" s="202"/>
      <c r="R13" s="201">
        <v>1</v>
      </c>
      <c r="S13" s="201">
        <v>0</v>
      </c>
      <c r="U13" s="215"/>
    </row>
    <row r="14" spans="1:21" ht="17.45" customHeight="1" x14ac:dyDescent="0.25">
      <c r="A14" s="104" t="s">
        <v>404</v>
      </c>
      <c r="B14" s="97" t="s">
        <v>517</v>
      </c>
      <c r="C14" s="104" t="s">
        <v>397</v>
      </c>
      <c r="D14" s="104" t="s">
        <v>114</v>
      </c>
      <c r="E14" s="104" t="s">
        <v>128</v>
      </c>
      <c r="F14" s="104">
        <v>5</v>
      </c>
      <c r="G14" s="199">
        <v>181559.8358</v>
      </c>
      <c r="H14" s="199">
        <v>199715.81940000001</v>
      </c>
      <c r="I14" s="199">
        <v>181559.8358</v>
      </c>
      <c r="J14" s="199">
        <v>9077.9917999999998</v>
      </c>
      <c r="K14" s="199">
        <v>9077.9917999999998</v>
      </c>
      <c r="L14" s="208" t="s">
        <v>500</v>
      </c>
      <c r="M14" s="85" t="s">
        <v>371</v>
      </c>
      <c r="N14" s="201">
        <v>0.90910000000000002</v>
      </c>
      <c r="O14" s="201">
        <v>4.5499999999999999E-2</v>
      </c>
      <c r="P14" s="201">
        <v>4.5499999999999999E-2</v>
      </c>
      <c r="Q14" s="202"/>
      <c r="R14" s="201">
        <v>1</v>
      </c>
      <c r="S14" s="201">
        <v>0</v>
      </c>
      <c r="U14" s="215"/>
    </row>
    <row r="15" spans="1:21" ht="17.45" customHeight="1" x14ac:dyDescent="0.25">
      <c r="A15" s="211" t="s">
        <v>381</v>
      </c>
      <c r="B15" s="127" t="s">
        <v>518</v>
      </c>
      <c r="C15" s="104" t="s">
        <v>397</v>
      </c>
      <c r="D15" s="85" t="s">
        <v>391</v>
      </c>
      <c r="E15" s="104" t="s">
        <v>128</v>
      </c>
      <c r="F15" s="85">
        <v>50</v>
      </c>
      <c r="G15" s="199">
        <v>142090.3063</v>
      </c>
      <c r="H15" s="199">
        <v>163403.85219999999</v>
      </c>
      <c r="I15" s="199">
        <v>142090.3063</v>
      </c>
      <c r="J15" s="199">
        <v>14209.0306</v>
      </c>
      <c r="K15" s="199">
        <v>7104.5153</v>
      </c>
      <c r="L15" s="209" t="s">
        <v>499</v>
      </c>
      <c r="M15" s="85" t="s">
        <v>252</v>
      </c>
      <c r="N15" s="201">
        <v>0.86960000000000004</v>
      </c>
      <c r="O15" s="201">
        <v>8.6999999999999994E-2</v>
      </c>
      <c r="P15" s="201">
        <v>4.3499999999999997E-2</v>
      </c>
      <c r="Q15" s="203"/>
      <c r="R15" s="203"/>
      <c r="S15" s="201">
        <v>1</v>
      </c>
      <c r="U15" s="215"/>
    </row>
    <row r="16" spans="1:21" ht="17.45" customHeight="1" x14ac:dyDescent="0.25">
      <c r="A16" s="211" t="s">
        <v>389</v>
      </c>
      <c r="B16" s="127" t="s">
        <v>519</v>
      </c>
      <c r="C16" s="104" t="s">
        <v>397</v>
      </c>
      <c r="D16" s="85" t="s">
        <v>362</v>
      </c>
      <c r="E16" s="104" t="s">
        <v>446</v>
      </c>
      <c r="F16" s="85">
        <v>1</v>
      </c>
      <c r="G16" s="199">
        <v>40701.965600000003</v>
      </c>
      <c r="H16" s="199">
        <v>48842.358699999997</v>
      </c>
      <c r="I16" s="199">
        <v>40701.965600000003</v>
      </c>
      <c r="J16" s="199">
        <v>4070.1966000000002</v>
      </c>
      <c r="K16" s="199">
        <v>4070.1966000000002</v>
      </c>
      <c r="L16" s="209" t="s">
        <v>499</v>
      </c>
      <c r="M16" s="85" t="s">
        <v>252</v>
      </c>
      <c r="N16" s="201">
        <v>0.83330000000000004</v>
      </c>
      <c r="O16" s="201">
        <v>8.3299999999999999E-2</v>
      </c>
      <c r="P16" s="201">
        <v>8.3299999999999999E-2</v>
      </c>
      <c r="Q16" s="203"/>
      <c r="R16" s="203"/>
      <c r="S16" s="201">
        <v>1</v>
      </c>
      <c r="U16" s="215"/>
    </row>
    <row r="17" spans="1:25" ht="17.45" customHeight="1" x14ac:dyDescent="0.25">
      <c r="A17" s="212" t="s">
        <v>382</v>
      </c>
      <c r="B17" s="97" t="s">
        <v>520</v>
      </c>
      <c r="C17" s="104" t="s">
        <v>397</v>
      </c>
      <c r="D17" s="85" t="s">
        <v>366</v>
      </c>
      <c r="E17" s="104" t="s">
        <v>447</v>
      </c>
      <c r="F17" s="85">
        <v>60</v>
      </c>
      <c r="G17" s="199">
        <v>80151.562999999995</v>
      </c>
      <c r="H17" s="199">
        <v>104197.0319</v>
      </c>
      <c r="I17" s="199">
        <v>80151.562999999995</v>
      </c>
      <c r="J17" s="199">
        <v>8015.1562999999996</v>
      </c>
      <c r="K17" s="199">
        <v>16030.312599999999</v>
      </c>
      <c r="L17" s="209" t="s">
        <v>499</v>
      </c>
      <c r="M17" s="85" t="s">
        <v>252</v>
      </c>
      <c r="N17" s="201">
        <v>0.76919999999999999</v>
      </c>
      <c r="O17" s="201">
        <v>7.6899999999999996E-2</v>
      </c>
      <c r="P17" s="201">
        <v>0.15379999999999999</v>
      </c>
      <c r="Q17" s="203"/>
      <c r="R17" s="203"/>
      <c r="S17" s="201">
        <v>1</v>
      </c>
      <c r="U17" s="215"/>
    </row>
    <row r="18" spans="1:25" ht="17.45" customHeight="1" x14ac:dyDescent="0.25">
      <c r="A18" s="104" t="s">
        <v>383</v>
      </c>
      <c r="B18" s="97" t="s">
        <v>521</v>
      </c>
      <c r="C18" s="104" t="s">
        <v>397</v>
      </c>
      <c r="D18" s="85" t="s">
        <v>13</v>
      </c>
      <c r="E18" s="104" t="s">
        <v>122</v>
      </c>
      <c r="F18" s="85">
        <v>900</v>
      </c>
      <c r="G18" s="199">
        <v>149344.9045</v>
      </c>
      <c r="H18" s="199">
        <v>164279.39490000001</v>
      </c>
      <c r="I18" s="199">
        <v>149344.9045</v>
      </c>
      <c r="J18" s="199">
        <v>7467.2452000000003</v>
      </c>
      <c r="K18" s="199">
        <v>7467.2452000000003</v>
      </c>
      <c r="L18" s="208" t="s">
        <v>500</v>
      </c>
      <c r="M18" s="85" t="s">
        <v>371</v>
      </c>
      <c r="N18" s="201">
        <v>0.90910000000000002</v>
      </c>
      <c r="O18" s="201">
        <v>4.5499999999999999E-2</v>
      </c>
      <c r="P18" s="201">
        <v>4.5499999999999999E-2</v>
      </c>
      <c r="Q18" s="203"/>
      <c r="R18" s="203"/>
      <c r="S18" s="201">
        <v>1</v>
      </c>
      <c r="U18" s="215"/>
    </row>
    <row r="19" spans="1:25" ht="17.45" customHeight="1" x14ac:dyDescent="0.25">
      <c r="A19" s="104" t="s">
        <v>387</v>
      </c>
      <c r="B19" s="97" t="s">
        <v>522</v>
      </c>
      <c r="C19" s="104" t="s">
        <v>397</v>
      </c>
      <c r="D19" s="85" t="s">
        <v>362</v>
      </c>
      <c r="E19" s="104" t="s">
        <v>446</v>
      </c>
      <c r="F19" s="85">
        <v>2</v>
      </c>
      <c r="G19" s="85">
        <v>720.11170000000004</v>
      </c>
      <c r="H19" s="85">
        <v>792.12289999999996</v>
      </c>
      <c r="I19" s="85">
        <v>720.11170000000004</v>
      </c>
      <c r="J19" s="85">
        <v>36.005600000000001</v>
      </c>
      <c r="K19" s="85">
        <v>36.005600000000001</v>
      </c>
      <c r="L19" s="208" t="s">
        <v>500</v>
      </c>
      <c r="M19" s="85" t="s">
        <v>371</v>
      </c>
      <c r="N19" s="201">
        <v>0.90910000000000002</v>
      </c>
      <c r="O19" s="201">
        <v>4.5499999999999999E-2</v>
      </c>
      <c r="P19" s="201">
        <v>4.5499999999999999E-2</v>
      </c>
      <c r="Q19" s="203"/>
      <c r="R19" s="203"/>
      <c r="S19" s="201">
        <v>1</v>
      </c>
      <c r="U19" s="215"/>
    </row>
    <row r="20" spans="1:25" ht="17.45" customHeight="1" x14ac:dyDescent="0.25">
      <c r="A20" s="104" t="s">
        <v>386</v>
      </c>
      <c r="B20" s="97" t="s">
        <v>523</v>
      </c>
      <c r="C20" s="104" t="s">
        <v>397</v>
      </c>
      <c r="D20" s="85" t="s">
        <v>359</v>
      </c>
      <c r="E20" s="104" t="s">
        <v>448</v>
      </c>
      <c r="F20" s="85">
        <v>30</v>
      </c>
      <c r="G20" s="199">
        <v>18977.134900000001</v>
      </c>
      <c r="H20" s="199">
        <v>24561.993699999999</v>
      </c>
      <c r="I20" s="199">
        <v>18977.134900000001</v>
      </c>
      <c r="J20" s="199">
        <v>5584.8588</v>
      </c>
      <c r="K20" s="85"/>
      <c r="L20" s="208" t="s">
        <v>501</v>
      </c>
      <c r="M20" s="85" t="s">
        <v>440</v>
      </c>
      <c r="N20" s="201">
        <v>0.77259999999999995</v>
      </c>
      <c r="O20" s="201">
        <v>0.22739999999999999</v>
      </c>
      <c r="P20" s="201">
        <v>0</v>
      </c>
      <c r="Q20" s="203"/>
      <c r="R20" s="203"/>
      <c r="S20" s="201">
        <v>1</v>
      </c>
      <c r="U20" s="215"/>
    </row>
    <row r="21" spans="1:25" ht="17.45" customHeight="1" x14ac:dyDescent="0.25">
      <c r="A21" s="104" t="s">
        <v>385</v>
      </c>
      <c r="B21" s="97" t="s">
        <v>524</v>
      </c>
      <c r="C21" s="104" t="s">
        <v>397</v>
      </c>
      <c r="D21" s="85" t="s">
        <v>449</v>
      </c>
      <c r="E21" s="104" t="s">
        <v>127</v>
      </c>
      <c r="F21" s="85">
        <v>90</v>
      </c>
      <c r="G21" s="199">
        <v>3757.1044999999999</v>
      </c>
      <c r="H21" s="199">
        <v>9341.9632999999994</v>
      </c>
      <c r="I21" s="199">
        <v>3757.1044999999999</v>
      </c>
      <c r="J21" s="199">
        <v>5584.8588</v>
      </c>
      <c r="K21" s="85"/>
      <c r="L21" s="208" t="s">
        <v>501</v>
      </c>
      <c r="M21" s="85" t="s">
        <v>440</v>
      </c>
      <c r="N21" s="201">
        <v>0.4022</v>
      </c>
      <c r="O21" s="201">
        <v>0.5978</v>
      </c>
      <c r="P21" s="201">
        <v>0</v>
      </c>
      <c r="Q21" s="203"/>
      <c r="R21" s="203"/>
      <c r="S21" s="201">
        <v>1</v>
      </c>
      <c r="U21" s="215"/>
    </row>
    <row r="22" spans="1:25" ht="17.45" customHeight="1" x14ac:dyDescent="0.25">
      <c r="A22" s="104" t="s">
        <v>384</v>
      </c>
      <c r="B22" s="97" t="s">
        <v>525</v>
      </c>
      <c r="C22" s="104" t="s">
        <v>397</v>
      </c>
      <c r="D22" s="85" t="s">
        <v>365</v>
      </c>
      <c r="E22" s="104" t="s">
        <v>127</v>
      </c>
      <c r="F22" s="85">
        <v>50</v>
      </c>
      <c r="G22" s="199">
        <v>15654.6021</v>
      </c>
      <c r="H22" s="199">
        <v>17220.062399999999</v>
      </c>
      <c r="I22" s="199">
        <v>15654.6021</v>
      </c>
      <c r="J22" s="85">
        <v>782.73009999999999</v>
      </c>
      <c r="K22" s="85">
        <v>782.73009999999999</v>
      </c>
      <c r="L22" s="208" t="s">
        <v>500</v>
      </c>
      <c r="M22" s="85" t="s">
        <v>371</v>
      </c>
      <c r="N22" s="201">
        <v>0.90910000000000002</v>
      </c>
      <c r="O22" s="201">
        <v>4.5499999999999999E-2</v>
      </c>
      <c r="P22" s="201">
        <v>4.5499999999999999E-2</v>
      </c>
      <c r="Q22" s="203"/>
      <c r="R22" s="203"/>
      <c r="S22" s="201">
        <v>1</v>
      </c>
      <c r="U22" s="215"/>
    </row>
    <row r="23" spans="1:25" ht="17.45" customHeight="1" x14ac:dyDescent="0.25">
      <c r="A23" s="104" t="s">
        <v>372</v>
      </c>
      <c r="B23" s="97" t="s">
        <v>526</v>
      </c>
      <c r="C23" s="104" t="s">
        <v>398</v>
      </c>
      <c r="D23" s="104" t="s">
        <v>39</v>
      </c>
      <c r="E23" s="104" t="s">
        <v>138</v>
      </c>
      <c r="F23" s="104">
        <v>100</v>
      </c>
      <c r="G23" s="199">
        <v>773602.77870000002</v>
      </c>
      <c r="H23" s="199">
        <v>812282.91760000004</v>
      </c>
      <c r="I23" s="199">
        <v>773602.77870000002</v>
      </c>
      <c r="J23" s="199">
        <v>38680.138899999998</v>
      </c>
      <c r="K23" s="85"/>
      <c r="L23" s="208" t="s">
        <v>502</v>
      </c>
      <c r="M23" s="85" t="s">
        <v>439</v>
      </c>
      <c r="N23" s="201">
        <v>0.95240000000000002</v>
      </c>
      <c r="O23" s="201">
        <v>4.7600000000000003E-2</v>
      </c>
      <c r="P23" s="201">
        <v>0</v>
      </c>
      <c r="Q23" s="201">
        <v>1</v>
      </c>
      <c r="R23" s="201"/>
      <c r="S23" s="201">
        <v>0</v>
      </c>
      <c r="U23" s="215"/>
    </row>
    <row r="24" spans="1:25" ht="17.45" customHeight="1" x14ac:dyDescent="0.25">
      <c r="A24" s="104" t="s">
        <v>373</v>
      </c>
      <c r="B24" s="97" t="s">
        <v>527</v>
      </c>
      <c r="C24" s="104" t="s">
        <v>398</v>
      </c>
      <c r="D24" s="104" t="s">
        <v>39</v>
      </c>
      <c r="E24" s="104" t="s">
        <v>138</v>
      </c>
      <c r="F24" s="104">
        <v>45</v>
      </c>
      <c r="G24" s="199">
        <v>177612.8829</v>
      </c>
      <c r="H24" s="199">
        <v>186493.527</v>
      </c>
      <c r="I24" s="199">
        <v>177612.8829</v>
      </c>
      <c r="J24" s="199">
        <v>8880.6440999999995</v>
      </c>
      <c r="K24" s="85"/>
      <c r="L24" s="208" t="s">
        <v>502</v>
      </c>
      <c r="M24" s="85" t="s">
        <v>439</v>
      </c>
      <c r="N24" s="201">
        <v>0.95240000000000002</v>
      </c>
      <c r="O24" s="201">
        <v>4.7600000000000003E-2</v>
      </c>
      <c r="P24" s="201">
        <v>0</v>
      </c>
      <c r="Q24" s="201">
        <v>1</v>
      </c>
      <c r="R24" s="201"/>
      <c r="S24" s="201">
        <v>0</v>
      </c>
      <c r="U24" s="215"/>
    </row>
    <row r="25" spans="1:25" ht="17.45" customHeight="1" x14ac:dyDescent="0.25">
      <c r="A25" s="104" t="s">
        <v>251</v>
      </c>
      <c r="B25" s="97" t="s">
        <v>528</v>
      </c>
      <c r="C25" s="104" t="s">
        <v>398</v>
      </c>
      <c r="D25" s="104" t="s">
        <v>39</v>
      </c>
      <c r="E25" s="104" t="s">
        <v>138</v>
      </c>
      <c r="F25" s="104">
        <v>65</v>
      </c>
      <c r="G25" s="199">
        <v>51310.388400000003</v>
      </c>
      <c r="H25" s="199">
        <v>59862.1198</v>
      </c>
      <c r="I25" s="199">
        <v>51310.388400000003</v>
      </c>
      <c r="J25" s="199">
        <v>8551.7314000000006</v>
      </c>
      <c r="K25" s="85"/>
      <c r="L25" s="209" t="s">
        <v>499</v>
      </c>
      <c r="M25" s="104" t="s">
        <v>252</v>
      </c>
      <c r="N25" s="201">
        <v>0.85709999999999997</v>
      </c>
      <c r="O25" s="201">
        <v>0.1429</v>
      </c>
      <c r="P25" s="201">
        <v>0</v>
      </c>
      <c r="Q25" s="201">
        <v>1</v>
      </c>
      <c r="R25" s="201"/>
      <c r="S25" s="201">
        <v>0</v>
      </c>
      <c r="U25" s="215"/>
    </row>
    <row r="26" spans="1:25" ht="17.45" customHeight="1" x14ac:dyDescent="0.25">
      <c r="A26" s="104" t="s">
        <v>392</v>
      </c>
      <c r="B26" s="97" t="s">
        <v>529</v>
      </c>
      <c r="C26" s="104" t="s">
        <v>398</v>
      </c>
      <c r="D26" s="104" t="s">
        <v>388</v>
      </c>
      <c r="E26" s="104" t="s">
        <v>480</v>
      </c>
      <c r="F26" s="85">
        <v>70</v>
      </c>
      <c r="G26" s="199">
        <v>552573.41330000001</v>
      </c>
      <c r="H26" s="199">
        <v>580202.08400000003</v>
      </c>
      <c r="I26" s="199">
        <v>552573.41330000001</v>
      </c>
      <c r="J26" s="85"/>
      <c r="K26" s="199">
        <v>27628.670699999999</v>
      </c>
      <c r="L26" s="208" t="s">
        <v>502</v>
      </c>
      <c r="M26" s="85" t="s">
        <v>439</v>
      </c>
      <c r="N26" s="201">
        <v>0.95240000000000002</v>
      </c>
      <c r="O26" s="201">
        <v>0</v>
      </c>
      <c r="P26" s="201">
        <v>4.7600000000000003E-2</v>
      </c>
      <c r="Q26" s="201"/>
      <c r="R26" s="203"/>
      <c r="S26" s="201">
        <v>1</v>
      </c>
      <c r="U26" s="215"/>
    </row>
    <row r="27" spans="1:25" ht="17.45" customHeight="1" x14ac:dyDescent="0.25">
      <c r="U27" s="215"/>
    </row>
    <row r="28" spans="1:25" ht="17.45" customHeight="1" x14ac:dyDescent="0.25">
      <c r="U28" s="215"/>
    </row>
    <row r="29" spans="1:25" ht="17.45" customHeight="1" x14ac:dyDescent="0.25">
      <c r="U29" s="215"/>
    </row>
    <row r="30" spans="1:25" ht="17.45" customHeight="1" x14ac:dyDescent="0.3">
      <c r="C30" s="104"/>
      <c r="L30" s="205"/>
      <c r="M30" s="205"/>
      <c r="N30" s="206"/>
      <c r="O30" s="206"/>
      <c r="P30" s="206"/>
      <c r="Q30" s="206"/>
      <c r="U30" s="215"/>
    </row>
    <row r="31" spans="1:25" ht="17.45" customHeight="1" x14ac:dyDescent="0.3">
      <c r="C31" s="104"/>
      <c r="L31" s="103"/>
      <c r="M31" s="205"/>
      <c r="N31" s="206"/>
      <c r="O31" s="206"/>
      <c r="P31" s="206"/>
      <c r="Q31" s="206"/>
      <c r="S31" s="213"/>
      <c r="T31" s="213"/>
      <c r="U31" s="213"/>
      <c r="V31" s="213"/>
      <c r="W31" s="213"/>
      <c r="X31" s="213"/>
      <c r="Y31" s="213"/>
    </row>
    <row r="32" spans="1:25" ht="17.45" customHeight="1" x14ac:dyDescent="0.3">
      <c r="C32" s="104"/>
      <c r="L32" s="207"/>
      <c r="M32" s="104"/>
      <c r="N32" s="206"/>
      <c r="O32" s="206"/>
      <c r="P32" s="206"/>
      <c r="Q32" s="206"/>
      <c r="S32" s="209"/>
      <c r="T32" s="209"/>
      <c r="U32" s="209"/>
      <c r="V32" s="209"/>
      <c r="W32" s="209"/>
      <c r="X32" s="208"/>
      <c r="Y32" s="209"/>
    </row>
    <row r="33" spans="3:25" ht="17.45" customHeight="1" x14ac:dyDescent="0.3">
      <c r="C33" s="104"/>
      <c r="L33" s="207"/>
      <c r="M33" s="207"/>
      <c r="N33" s="206"/>
      <c r="O33" s="206"/>
      <c r="P33" s="206"/>
      <c r="Q33" s="206"/>
      <c r="S33" s="208"/>
      <c r="T33" s="208"/>
      <c r="V33" s="208"/>
      <c r="W33" s="208"/>
      <c r="X33" s="208"/>
      <c r="Y33" s="208"/>
    </row>
    <row r="34" spans="3:25" ht="17.45" customHeight="1" x14ac:dyDescent="0.3">
      <c r="C34" s="104"/>
      <c r="L34" s="207"/>
      <c r="M34" s="205"/>
      <c r="N34" s="206"/>
      <c r="O34" s="206"/>
      <c r="P34" s="206"/>
      <c r="Q34" s="206"/>
      <c r="S34" s="208"/>
      <c r="T34" s="208"/>
      <c r="V34" s="208"/>
      <c r="W34" s="208"/>
      <c r="X34" s="208"/>
      <c r="Y34" s="208"/>
    </row>
    <row r="35" spans="3:25" ht="17.45" customHeight="1" x14ac:dyDescent="0.3">
      <c r="C35" s="104"/>
      <c r="L35" s="207"/>
      <c r="M35" s="205"/>
      <c r="N35" s="206"/>
      <c r="O35" s="206"/>
      <c r="P35" s="206"/>
      <c r="Q35" s="206"/>
      <c r="S35" s="208"/>
      <c r="T35" s="208"/>
      <c r="V35" s="208"/>
      <c r="W35" s="208"/>
      <c r="X35" s="208"/>
      <c r="Y35" s="208"/>
    </row>
    <row r="36" spans="3:25" ht="17.45" customHeight="1" x14ac:dyDescent="0.3">
      <c r="C36" s="104"/>
      <c r="L36" s="207"/>
      <c r="M36" s="205"/>
      <c r="N36" s="206"/>
      <c r="O36" s="206"/>
      <c r="P36" s="206"/>
      <c r="Q36" s="206"/>
      <c r="S36" s="208"/>
      <c r="T36" s="208"/>
      <c r="V36" s="208"/>
      <c r="W36" s="208"/>
      <c r="X36" s="208"/>
      <c r="Y36" s="208"/>
    </row>
    <row r="37" spans="3:25" ht="17.45" customHeight="1" x14ac:dyDescent="0.3">
      <c r="C37" s="104"/>
      <c r="L37" s="207"/>
      <c r="M37" s="207"/>
      <c r="N37" s="206"/>
      <c r="O37" s="206"/>
      <c r="P37" s="206"/>
      <c r="Q37" s="206"/>
      <c r="S37" s="208"/>
      <c r="T37" s="208"/>
      <c r="V37" s="208"/>
      <c r="W37" s="208"/>
      <c r="X37" s="208"/>
      <c r="Y37" s="208"/>
    </row>
    <row r="38" spans="3:25" ht="17.45" customHeight="1" x14ac:dyDescent="0.3">
      <c r="C38" s="104"/>
      <c r="L38" s="207"/>
      <c r="M38" s="205"/>
      <c r="N38" s="206"/>
      <c r="O38" s="206"/>
      <c r="P38" s="206"/>
      <c r="Q38" s="206"/>
      <c r="S38" s="208"/>
      <c r="T38" s="208"/>
      <c r="V38" s="208"/>
      <c r="W38" s="208"/>
      <c r="X38" s="208"/>
      <c r="Y38" s="208"/>
    </row>
    <row r="39" spans="3:25" ht="17.45" customHeight="1" x14ac:dyDescent="0.3">
      <c r="C39" s="104"/>
      <c r="L39" s="207"/>
      <c r="M39" s="205"/>
      <c r="N39" s="206"/>
      <c r="O39" s="206"/>
      <c r="P39" s="206"/>
      <c r="Q39" s="206"/>
      <c r="S39" s="208"/>
      <c r="T39" s="208"/>
      <c r="V39" s="208"/>
      <c r="W39" s="208"/>
      <c r="X39" s="208"/>
      <c r="Y39" s="208"/>
    </row>
    <row r="40" spans="3:25" ht="17.45" customHeight="1" x14ac:dyDescent="0.3">
      <c r="C40" s="104"/>
      <c r="L40" s="207"/>
      <c r="M40" s="205"/>
      <c r="N40" s="206"/>
      <c r="O40" s="206"/>
      <c r="P40" s="206"/>
      <c r="Q40" s="206"/>
      <c r="S40" s="208"/>
      <c r="T40" s="208"/>
      <c r="V40" s="208"/>
      <c r="W40" s="208"/>
      <c r="X40" s="208"/>
      <c r="Y40" s="208"/>
    </row>
    <row r="41" spans="3:25" ht="17.45" customHeight="1" x14ac:dyDescent="0.3">
      <c r="C41" s="104"/>
      <c r="L41" s="207"/>
      <c r="M41" s="205"/>
      <c r="N41" s="206"/>
      <c r="O41" s="206"/>
      <c r="P41" s="206"/>
      <c r="Q41" s="206"/>
      <c r="S41" s="208"/>
      <c r="T41" s="208"/>
      <c r="V41" s="208"/>
      <c r="W41" s="208"/>
      <c r="X41" s="208"/>
      <c r="Y41" s="208"/>
    </row>
    <row r="42" spans="3:25" ht="17.45" customHeight="1" x14ac:dyDescent="0.3">
      <c r="C42" s="104"/>
      <c r="L42" s="207"/>
      <c r="M42" s="205"/>
      <c r="N42" s="206"/>
      <c r="O42" s="206"/>
      <c r="P42" s="206"/>
      <c r="Q42" s="206"/>
      <c r="S42" s="208"/>
      <c r="T42" s="208"/>
      <c r="V42" s="208"/>
      <c r="W42" s="208"/>
      <c r="X42" s="208"/>
      <c r="Y42" s="208"/>
    </row>
    <row r="43" spans="3:25" ht="17.45" customHeight="1" x14ac:dyDescent="0.3">
      <c r="C43" s="104"/>
      <c r="L43" s="207"/>
      <c r="M43" s="205"/>
      <c r="N43" s="206"/>
      <c r="O43" s="206"/>
      <c r="P43" s="206"/>
      <c r="Q43" s="206"/>
      <c r="S43" s="208"/>
      <c r="T43" s="208"/>
      <c r="V43" s="208"/>
      <c r="W43" s="208"/>
      <c r="X43" s="208"/>
      <c r="Y43" s="208"/>
    </row>
    <row r="44" spans="3:25" ht="17.45" customHeight="1" x14ac:dyDescent="0.3">
      <c r="C44" s="104"/>
      <c r="L44" s="207"/>
      <c r="M44" s="205"/>
      <c r="N44" s="206"/>
      <c r="O44" s="206"/>
      <c r="P44" s="206"/>
      <c r="Q44" s="206"/>
      <c r="S44" s="208"/>
      <c r="T44" s="208"/>
      <c r="V44" s="208"/>
      <c r="W44" s="208"/>
      <c r="X44" s="208"/>
      <c r="Y44" s="208"/>
    </row>
    <row r="45" spans="3:25" ht="17.45" customHeight="1" x14ac:dyDescent="0.3">
      <c r="C45" s="104"/>
      <c r="L45" s="207"/>
      <c r="M45" s="205"/>
      <c r="N45" s="206"/>
      <c r="O45" s="206"/>
      <c r="P45" s="206"/>
      <c r="Q45" s="206"/>
      <c r="S45" s="208"/>
      <c r="T45" s="208"/>
      <c r="V45" s="208"/>
      <c r="W45" s="208"/>
      <c r="X45" s="208"/>
      <c r="Y45" s="208"/>
    </row>
    <row r="46" spans="3:25" ht="17.45" customHeight="1" x14ac:dyDescent="0.25">
      <c r="C46" s="104"/>
      <c r="S46" s="208"/>
      <c r="T46" s="208"/>
      <c r="V46" s="208"/>
      <c r="W46" s="208"/>
      <c r="X46" s="208"/>
      <c r="Y46" s="208"/>
    </row>
    <row r="47" spans="3:25" ht="17.45" customHeight="1" x14ac:dyDescent="0.25">
      <c r="C47" s="104"/>
      <c r="S47" s="208"/>
      <c r="T47" s="208"/>
      <c r="V47" s="208"/>
      <c r="W47" s="208"/>
      <c r="X47" s="208"/>
      <c r="Y47" s="208"/>
    </row>
    <row r="48" spans="3:25" ht="17.45" customHeight="1" x14ac:dyDescent="0.25">
      <c r="C48" s="104"/>
      <c r="S48" s="208"/>
      <c r="T48" s="208"/>
      <c r="V48" s="208"/>
      <c r="W48" s="208"/>
      <c r="X48" s="208"/>
      <c r="Y48" s="208"/>
    </row>
    <row r="49" spans="3:25" ht="17.45" customHeight="1" x14ac:dyDescent="0.25">
      <c r="C49" s="104"/>
      <c r="S49" s="208"/>
      <c r="T49" s="208"/>
      <c r="V49" s="208"/>
      <c r="W49" s="208"/>
      <c r="X49" s="208"/>
      <c r="Y49" s="208"/>
    </row>
    <row r="50" spans="3:25" ht="17.45" customHeight="1" x14ac:dyDescent="0.25">
      <c r="C50" s="104"/>
      <c r="U50" s="215"/>
    </row>
    <row r="51" spans="3:25" ht="17.45" customHeight="1" x14ac:dyDescent="0.25">
      <c r="C51" s="104"/>
      <c r="M51" s="208"/>
      <c r="U51" s="215"/>
    </row>
    <row r="52" spans="3:25" ht="17.45" customHeight="1" x14ac:dyDescent="0.25">
      <c r="C52" s="104"/>
      <c r="M52" s="208"/>
      <c r="U52" s="215"/>
    </row>
    <row r="53" spans="3:25" ht="17.45" customHeight="1" x14ac:dyDescent="0.25">
      <c r="C53" s="104"/>
      <c r="M53" s="208"/>
      <c r="U53" s="215"/>
    </row>
    <row r="54" spans="3:25" ht="17.45" customHeight="1" x14ac:dyDescent="0.25">
      <c r="M54" s="208"/>
      <c r="U54" s="215"/>
    </row>
    <row r="55" spans="3:25" ht="17.45" customHeight="1" x14ac:dyDescent="0.25">
      <c r="M55" s="208"/>
      <c r="U55" s="215"/>
    </row>
    <row r="56" spans="3:25" ht="17.45" customHeight="1" x14ac:dyDescent="0.25">
      <c r="M56" s="208"/>
      <c r="U56" s="215"/>
    </row>
    <row r="57" spans="3:25" ht="17.45" customHeight="1" x14ac:dyDescent="0.25">
      <c r="U57" s="215"/>
    </row>
    <row r="58" spans="3:25" ht="17.45" customHeight="1" x14ac:dyDescent="0.25">
      <c r="U58" s="215"/>
    </row>
    <row r="59" spans="3:25" ht="17.45" customHeight="1" x14ac:dyDescent="0.25">
      <c r="U59" s="215"/>
    </row>
    <row r="60" spans="3:25" ht="17.45" customHeight="1" x14ac:dyDescent="0.25">
      <c r="U60" s="215"/>
    </row>
    <row r="61" spans="3:25" ht="17.45" customHeight="1" x14ac:dyDescent="0.25">
      <c r="U61" s="215"/>
    </row>
    <row r="62" spans="3:25" ht="17.45" customHeight="1" x14ac:dyDescent="0.25">
      <c r="U62" s="215"/>
    </row>
    <row r="63" spans="3:25" ht="17.45" customHeight="1" x14ac:dyDescent="0.25">
      <c r="U63" s="215"/>
    </row>
    <row r="64" spans="3:25" ht="17.45" customHeight="1" x14ac:dyDescent="0.25">
      <c r="U64" s="215"/>
    </row>
    <row r="65" spans="21:21" ht="17.45" customHeight="1" x14ac:dyDescent="0.25">
      <c r="U65" s="215"/>
    </row>
    <row r="66" spans="21:21" ht="17.45" customHeight="1" x14ac:dyDescent="0.25">
      <c r="U66" s="215"/>
    </row>
    <row r="67" spans="21:21" ht="17.45" customHeight="1" x14ac:dyDescent="0.25">
      <c r="U67" s="215"/>
    </row>
    <row r="68" spans="21:21" ht="17.45" customHeight="1" x14ac:dyDescent="0.25">
      <c r="U68" s="215"/>
    </row>
    <row r="69" spans="21:21" ht="17.45" customHeight="1" x14ac:dyDescent="0.25">
      <c r="U69" s="215"/>
    </row>
    <row r="70" spans="21:21" ht="17.45" customHeight="1" x14ac:dyDescent="0.25">
      <c r="U70" s="215"/>
    </row>
    <row r="71" spans="21:21" ht="17.45" customHeight="1" x14ac:dyDescent="0.25">
      <c r="U71" s="215"/>
    </row>
    <row r="72" spans="21:21" ht="17.45" customHeight="1" x14ac:dyDescent="0.25">
      <c r="U72" s="215"/>
    </row>
    <row r="73" spans="21:21" ht="17.45" customHeight="1" x14ac:dyDescent="0.25">
      <c r="U73" s="215"/>
    </row>
    <row r="74" spans="21:21" ht="17.45" customHeight="1" x14ac:dyDescent="0.25">
      <c r="U74" s="215"/>
    </row>
    <row r="75" spans="21:21" ht="17.45" customHeight="1" x14ac:dyDescent="0.25">
      <c r="U75" s="215"/>
    </row>
    <row r="76" spans="21:21" ht="17.45" customHeight="1" x14ac:dyDescent="0.25">
      <c r="U76" s="215"/>
    </row>
    <row r="77" spans="21:21" ht="17.45" customHeight="1" x14ac:dyDescent="0.25">
      <c r="U77" s="215"/>
    </row>
    <row r="78" spans="21:21" ht="17.45" customHeight="1" x14ac:dyDescent="0.25">
      <c r="U78" s="215"/>
    </row>
    <row r="79" spans="21:21" ht="17.45" customHeight="1" x14ac:dyDescent="0.25">
      <c r="U79" s="215"/>
    </row>
    <row r="80" spans="21:21" ht="17.45" customHeight="1" x14ac:dyDescent="0.25">
      <c r="U80" s="215"/>
    </row>
    <row r="81" spans="21:21" ht="17.45" customHeight="1" x14ac:dyDescent="0.25">
      <c r="U81" s="215"/>
    </row>
    <row r="82" spans="21:21" ht="17.45" customHeight="1" x14ac:dyDescent="0.25">
      <c r="U82" s="215"/>
    </row>
    <row r="83" spans="21:21" ht="17.45" customHeight="1" x14ac:dyDescent="0.25">
      <c r="U83" s="215"/>
    </row>
    <row r="84" spans="21:21" ht="17.45" customHeight="1" x14ac:dyDescent="0.25">
      <c r="U84" s="215"/>
    </row>
    <row r="85" spans="21:21" ht="17.45" customHeight="1" x14ac:dyDescent="0.25">
      <c r="U85" s="215"/>
    </row>
    <row r="86" spans="21:21" ht="17.45" customHeight="1" x14ac:dyDescent="0.25">
      <c r="U86" s="215"/>
    </row>
    <row r="87" spans="21:21" ht="17.45" customHeight="1" x14ac:dyDescent="0.25">
      <c r="U87" s="215"/>
    </row>
    <row r="88" spans="21:21" ht="17.45" customHeight="1" x14ac:dyDescent="0.25">
      <c r="U88" s="215"/>
    </row>
    <row r="89" spans="21:21" ht="17.45" customHeight="1" x14ac:dyDescent="0.25">
      <c r="U89" s="215"/>
    </row>
    <row r="90" spans="21:21" ht="17.45" customHeight="1" x14ac:dyDescent="0.25">
      <c r="U90" s="215"/>
    </row>
    <row r="91" spans="21:21" ht="17.45" customHeight="1" x14ac:dyDescent="0.25">
      <c r="U91" s="215"/>
    </row>
    <row r="92" spans="21:21" ht="17.45" customHeight="1" x14ac:dyDescent="0.25">
      <c r="U92" s="215"/>
    </row>
    <row r="93" spans="21:21" ht="17.45" customHeight="1" x14ac:dyDescent="0.25">
      <c r="U93" s="215"/>
    </row>
    <row r="94" spans="21:21" ht="17.45" customHeight="1" x14ac:dyDescent="0.25">
      <c r="U94" s="215"/>
    </row>
    <row r="95" spans="21:21" ht="17.45" customHeight="1" x14ac:dyDescent="0.25">
      <c r="U95" s="215"/>
    </row>
    <row r="96" spans="21:21" ht="17.45" customHeight="1" x14ac:dyDescent="0.25">
      <c r="U96" s="215"/>
    </row>
    <row r="97" spans="21:21" ht="17.45" customHeight="1" x14ac:dyDescent="0.25">
      <c r="U97" s="215"/>
    </row>
    <row r="98" spans="21:21" ht="17.45" customHeight="1" x14ac:dyDescent="0.25">
      <c r="U98" s="215"/>
    </row>
    <row r="99" spans="21:21" ht="17.45" customHeight="1" x14ac:dyDescent="0.25">
      <c r="U99" s="215"/>
    </row>
    <row r="100" spans="21:21" ht="17.45" customHeight="1" x14ac:dyDescent="0.25">
      <c r="U100" s="215"/>
    </row>
    <row r="101" spans="21:21" ht="17.45" customHeight="1" x14ac:dyDescent="0.25">
      <c r="U101" s="215"/>
    </row>
    <row r="102" spans="21:21" ht="17.45" customHeight="1" x14ac:dyDescent="0.25">
      <c r="U102" s="215"/>
    </row>
    <row r="103" spans="21:21" ht="17.45" customHeight="1" x14ac:dyDescent="0.25">
      <c r="U103" s="215"/>
    </row>
    <row r="104" spans="21:21" ht="17.45" customHeight="1" x14ac:dyDescent="0.25">
      <c r="U104" s="215"/>
    </row>
    <row r="105" spans="21:21" ht="17.45" customHeight="1" x14ac:dyDescent="0.25">
      <c r="U105" s="215"/>
    </row>
    <row r="106" spans="21:21" ht="17.45" customHeight="1" x14ac:dyDescent="0.25">
      <c r="U106" s="215"/>
    </row>
    <row r="107" spans="21:21" ht="17.45" customHeight="1" x14ac:dyDescent="0.25">
      <c r="U107" s="215"/>
    </row>
    <row r="108" spans="21:21" ht="17.45" customHeight="1" x14ac:dyDescent="0.25">
      <c r="U108" s="215"/>
    </row>
    <row r="109" spans="21:21" ht="17.45" customHeight="1" x14ac:dyDescent="0.25">
      <c r="U109" s="215"/>
    </row>
    <row r="110" spans="21:21" ht="17.45" customHeight="1" x14ac:dyDescent="0.25">
      <c r="U110" s="215"/>
    </row>
    <row r="111" spans="21:21" ht="17.45" customHeight="1" x14ac:dyDescent="0.25">
      <c r="U111" s="215"/>
    </row>
    <row r="112" spans="21:21" ht="17.45" customHeight="1" x14ac:dyDescent="0.25">
      <c r="U112" s="215"/>
    </row>
    <row r="113" spans="21:21" ht="17.45" customHeight="1" x14ac:dyDescent="0.25">
      <c r="U113" s="215"/>
    </row>
    <row r="114" spans="21:21" ht="17.45" customHeight="1" x14ac:dyDescent="0.25">
      <c r="U114" s="215"/>
    </row>
    <row r="115" spans="21:21" ht="17.45" customHeight="1" x14ac:dyDescent="0.25">
      <c r="U115" s="215"/>
    </row>
    <row r="116" spans="21:21" ht="17.45" customHeight="1" x14ac:dyDescent="0.25">
      <c r="U116" s="215"/>
    </row>
    <row r="117" spans="21:21" ht="17.45" customHeight="1" x14ac:dyDescent="0.25">
      <c r="U117" s="215"/>
    </row>
    <row r="118" spans="21:21" ht="17.45" customHeight="1" x14ac:dyDescent="0.25">
      <c r="U118" s="215"/>
    </row>
    <row r="119" spans="21:21" ht="17.45" customHeight="1" x14ac:dyDescent="0.25">
      <c r="U119" s="215"/>
    </row>
    <row r="120" spans="21:21" ht="17.45" customHeight="1" x14ac:dyDescent="0.25">
      <c r="U120" s="215"/>
    </row>
    <row r="121" spans="21:21" ht="17.45" customHeight="1" x14ac:dyDescent="0.25">
      <c r="U121" s="215"/>
    </row>
    <row r="122" spans="21:21" ht="17.45" customHeight="1" x14ac:dyDescent="0.25">
      <c r="U122" s="215"/>
    </row>
    <row r="123" spans="21:21" ht="17.45" customHeight="1" x14ac:dyDescent="0.25">
      <c r="U123" s="215"/>
    </row>
    <row r="124" spans="21:21" ht="17.45" customHeight="1" x14ac:dyDescent="0.25">
      <c r="U124" s="215"/>
    </row>
    <row r="125" spans="21:21" ht="17.45" customHeight="1" x14ac:dyDescent="0.25">
      <c r="U125" s="215"/>
    </row>
    <row r="126" spans="21:21" ht="17.45" customHeight="1" x14ac:dyDescent="0.25">
      <c r="U126" s="215"/>
    </row>
    <row r="127" spans="21:21" ht="17.45" customHeight="1" x14ac:dyDescent="0.25">
      <c r="U127" s="215"/>
    </row>
    <row r="128" spans="21:21" ht="17.45" customHeight="1" x14ac:dyDescent="0.25">
      <c r="U128" s="215"/>
    </row>
    <row r="129" spans="21:21" ht="17.45" customHeight="1" x14ac:dyDescent="0.25">
      <c r="U129" s="215"/>
    </row>
    <row r="130" spans="21:21" ht="17.45" customHeight="1" x14ac:dyDescent="0.25">
      <c r="U130" s="215"/>
    </row>
    <row r="131" spans="21:21" ht="17.45" customHeight="1" x14ac:dyDescent="0.25">
      <c r="U131" s="215"/>
    </row>
    <row r="132" spans="21:21" ht="17.45" customHeight="1" x14ac:dyDescent="0.25">
      <c r="U132" s="215"/>
    </row>
    <row r="133" spans="21:21" ht="17.45" customHeight="1" x14ac:dyDescent="0.25">
      <c r="U133" s="215"/>
    </row>
    <row r="134" spans="21:21" ht="17.45" customHeight="1" x14ac:dyDescent="0.25">
      <c r="U134" s="215"/>
    </row>
    <row r="135" spans="21:21" ht="17.45" customHeight="1" x14ac:dyDescent="0.25">
      <c r="U135" s="215"/>
    </row>
    <row r="136" spans="21:21" ht="17.45" customHeight="1" x14ac:dyDescent="0.25">
      <c r="U136" s="215"/>
    </row>
    <row r="137" spans="21:21" ht="17.45" customHeight="1" x14ac:dyDescent="0.25">
      <c r="U137" s="215"/>
    </row>
    <row r="138" spans="21:21" ht="17.45" customHeight="1" x14ac:dyDescent="0.25">
      <c r="U138" s="215"/>
    </row>
    <row r="139" spans="21:21" ht="17.45" customHeight="1" x14ac:dyDescent="0.25">
      <c r="U139" s="215"/>
    </row>
    <row r="140" spans="21:21" ht="17.45" customHeight="1" x14ac:dyDescent="0.25">
      <c r="U140" s="215"/>
    </row>
    <row r="141" spans="21:21" ht="17.45" customHeight="1" x14ac:dyDescent="0.25">
      <c r="U141" s="215"/>
    </row>
    <row r="142" spans="21:21" ht="17.45" customHeight="1" x14ac:dyDescent="0.25">
      <c r="U142" s="215"/>
    </row>
    <row r="143" spans="21:21" ht="17.45" customHeight="1" x14ac:dyDescent="0.25">
      <c r="U143" s="215"/>
    </row>
    <row r="144" spans="21:21" ht="17.45" customHeight="1" x14ac:dyDescent="0.25">
      <c r="U144" s="215"/>
    </row>
    <row r="145" spans="21:21" ht="17.45" customHeight="1" x14ac:dyDescent="0.25">
      <c r="U145" s="215"/>
    </row>
    <row r="146" spans="21:21" ht="17.45" customHeight="1" x14ac:dyDescent="0.25">
      <c r="U146" s="215"/>
    </row>
    <row r="147" spans="21:21" ht="17.45" customHeight="1" x14ac:dyDescent="0.25">
      <c r="U147" s="215"/>
    </row>
    <row r="148" spans="21:21" ht="17.45" customHeight="1" x14ac:dyDescent="0.25">
      <c r="U148" s="215"/>
    </row>
    <row r="149" spans="21:21" ht="17.45" customHeight="1" x14ac:dyDescent="0.25">
      <c r="U149" s="215"/>
    </row>
    <row r="150" spans="21:21" ht="17.45" customHeight="1" x14ac:dyDescent="0.25">
      <c r="U150" s="215"/>
    </row>
    <row r="151" spans="21:21" ht="17.45" customHeight="1" x14ac:dyDescent="0.25">
      <c r="U151" s="215"/>
    </row>
    <row r="152" spans="21:21" ht="17.45" customHeight="1" x14ac:dyDescent="0.25">
      <c r="U152" s="215"/>
    </row>
    <row r="153" spans="21:21" ht="17.45" customHeight="1" x14ac:dyDescent="0.25">
      <c r="U153" s="215"/>
    </row>
    <row r="154" spans="21:21" ht="17.45" customHeight="1" x14ac:dyDescent="0.25">
      <c r="U154" s="215"/>
    </row>
    <row r="155" spans="21:21" ht="17.45" customHeight="1" x14ac:dyDescent="0.25">
      <c r="U155" s="215"/>
    </row>
    <row r="156" spans="21:21" ht="17.45" customHeight="1" x14ac:dyDescent="0.25">
      <c r="U156" s="215"/>
    </row>
    <row r="157" spans="21:21" ht="17.45" customHeight="1" x14ac:dyDescent="0.25">
      <c r="U157" s="215"/>
    </row>
    <row r="158" spans="21:21" ht="17.45" customHeight="1" x14ac:dyDescent="0.25">
      <c r="U158" s="215"/>
    </row>
    <row r="159" spans="21:21" ht="17.45" customHeight="1" x14ac:dyDescent="0.25">
      <c r="U159" s="215"/>
    </row>
    <row r="160" spans="21:21" ht="17.45" customHeight="1" x14ac:dyDescent="0.25">
      <c r="U160" s="215"/>
    </row>
    <row r="161" spans="21:21" ht="17.45" customHeight="1" x14ac:dyDescent="0.25">
      <c r="U161" s="215"/>
    </row>
    <row r="162" spans="21:21" ht="17.45" customHeight="1" x14ac:dyDescent="0.25">
      <c r="U162" s="215"/>
    </row>
    <row r="163" spans="21:21" ht="17.45" customHeight="1" x14ac:dyDescent="0.25">
      <c r="U163" s="215"/>
    </row>
    <row r="164" spans="21:21" ht="17.45" customHeight="1" x14ac:dyDescent="0.25">
      <c r="U164" s="215"/>
    </row>
    <row r="165" spans="21:21" ht="17.45" customHeight="1" x14ac:dyDescent="0.25">
      <c r="U165" s="215"/>
    </row>
    <row r="166" spans="21:21" ht="17.45" customHeight="1" x14ac:dyDescent="0.25">
      <c r="U166" s="215"/>
    </row>
    <row r="167" spans="21:21" ht="17.45" customHeight="1" x14ac:dyDescent="0.25">
      <c r="U167" s="215"/>
    </row>
    <row r="168" spans="21:21" ht="17.45" customHeight="1" x14ac:dyDescent="0.25">
      <c r="U168" s="215"/>
    </row>
    <row r="169" spans="21:21" ht="17.45" customHeight="1" x14ac:dyDescent="0.25">
      <c r="U169" s="215"/>
    </row>
    <row r="170" spans="21:21" ht="17.45" customHeight="1" x14ac:dyDescent="0.25">
      <c r="U170" s="215"/>
    </row>
    <row r="171" spans="21:21" ht="17.45" customHeight="1" x14ac:dyDescent="0.25">
      <c r="U171" s="215"/>
    </row>
    <row r="172" spans="21:21" ht="17.45" customHeight="1" x14ac:dyDescent="0.25">
      <c r="U172" s="215"/>
    </row>
    <row r="173" spans="21:21" ht="17.45" customHeight="1" x14ac:dyDescent="0.25">
      <c r="U173" s="215"/>
    </row>
    <row r="174" spans="21:21" ht="17.45" customHeight="1" x14ac:dyDescent="0.25">
      <c r="U174" s="215"/>
    </row>
    <row r="175" spans="21:21" ht="17.45" customHeight="1" x14ac:dyDescent="0.25">
      <c r="U175" s="215"/>
    </row>
    <row r="176" spans="21:21" ht="17.45" customHeight="1" x14ac:dyDescent="0.25">
      <c r="U176" s="215"/>
    </row>
    <row r="177" spans="21:21" ht="17.45" customHeight="1" x14ac:dyDescent="0.25">
      <c r="U177" s="215"/>
    </row>
    <row r="178" spans="21:21" ht="17.45" customHeight="1" x14ac:dyDescent="0.25">
      <c r="U178" s="215"/>
    </row>
    <row r="179" spans="21:21" ht="17.45" customHeight="1" x14ac:dyDescent="0.25">
      <c r="U179" s="215"/>
    </row>
    <row r="180" spans="21:21" ht="17.45" customHeight="1" x14ac:dyDescent="0.25">
      <c r="U180" s="215"/>
    </row>
    <row r="181" spans="21:21" ht="17.45" customHeight="1" x14ac:dyDescent="0.25">
      <c r="U181" s="215"/>
    </row>
    <row r="182" spans="21:21" ht="17.45" customHeight="1" x14ac:dyDescent="0.25">
      <c r="U182" s="215"/>
    </row>
    <row r="183" spans="21:21" ht="17.45" customHeight="1" x14ac:dyDescent="0.25">
      <c r="U183" s="215"/>
    </row>
    <row r="184" spans="21:21" ht="17.45" customHeight="1" x14ac:dyDescent="0.25">
      <c r="U184" s="215"/>
    </row>
    <row r="185" spans="21:21" ht="17.45" customHeight="1" x14ac:dyDescent="0.25">
      <c r="U185" s="215"/>
    </row>
    <row r="186" spans="21:21" ht="17.45" customHeight="1" x14ac:dyDescent="0.25">
      <c r="U186" s="215"/>
    </row>
    <row r="187" spans="21:21" ht="17.45" customHeight="1" x14ac:dyDescent="0.25">
      <c r="U187" s="215"/>
    </row>
    <row r="188" spans="21:21" ht="17.45" customHeight="1" x14ac:dyDescent="0.25">
      <c r="U188" s="215"/>
    </row>
    <row r="189" spans="21:21" ht="17.45" customHeight="1" x14ac:dyDescent="0.25">
      <c r="U189" s="215"/>
    </row>
    <row r="190" spans="21:21" ht="17.45" customHeight="1" x14ac:dyDescent="0.25">
      <c r="U190" s="215"/>
    </row>
    <row r="191" spans="21:21" ht="17.45" customHeight="1" x14ac:dyDescent="0.25">
      <c r="U191" s="215"/>
    </row>
    <row r="192" spans="21:21" ht="17.45" customHeight="1" x14ac:dyDescent="0.25">
      <c r="U192" s="215"/>
    </row>
    <row r="193" spans="21:21" ht="17.45" customHeight="1" x14ac:dyDescent="0.25">
      <c r="U193" s="215"/>
    </row>
    <row r="194" spans="21:21" ht="17.45" customHeight="1" x14ac:dyDescent="0.25">
      <c r="U194" s="215"/>
    </row>
    <row r="195" spans="21:21" ht="17.45" customHeight="1" x14ac:dyDescent="0.25">
      <c r="U195" s="215"/>
    </row>
    <row r="196" spans="21:21" ht="17.45" customHeight="1" x14ac:dyDescent="0.25">
      <c r="U196" s="215"/>
    </row>
    <row r="197" spans="21:21" ht="17.45" customHeight="1" x14ac:dyDescent="0.25">
      <c r="U197" s="215"/>
    </row>
    <row r="198" spans="21:21" ht="17.45" customHeight="1" x14ac:dyDescent="0.25">
      <c r="U198" s="215"/>
    </row>
    <row r="199" spans="21:21" ht="17.45" customHeight="1" x14ac:dyDescent="0.25">
      <c r="U199" s="215"/>
    </row>
    <row r="200" spans="21:21" ht="17.45" customHeight="1" x14ac:dyDescent="0.25">
      <c r="U200" s="215"/>
    </row>
    <row r="201" spans="21:21" ht="17.45" customHeight="1" x14ac:dyDescent="0.25">
      <c r="U201" s="215"/>
    </row>
    <row r="202" spans="21:21" ht="17.45" customHeight="1" x14ac:dyDescent="0.25">
      <c r="U202" s="215"/>
    </row>
    <row r="203" spans="21:21" ht="17.45" customHeight="1" x14ac:dyDescent="0.25">
      <c r="U203" s="215"/>
    </row>
    <row r="204" spans="21:21" ht="17.45" customHeight="1" x14ac:dyDescent="0.25">
      <c r="U204" s="215"/>
    </row>
    <row r="205" spans="21:21" ht="17.45" customHeight="1" x14ac:dyDescent="0.25">
      <c r="U205" s="215"/>
    </row>
    <row r="206" spans="21:21" ht="17.45" customHeight="1" x14ac:dyDescent="0.25">
      <c r="U206" s="215"/>
    </row>
    <row r="207" spans="21:21" ht="17.45" customHeight="1" x14ac:dyDescent="0.25">
      <c r="U207" s="215"/>
    </row>
    <row r="208" spans="21:21" ht="17.45" customHeight="1" x14ac:dyDescent="0.25">
      <c r="U208" s="215"/>
    </row>
    <row r="209" spans="21:21" ht="17.45" customHeight="1" x14ac:dyDescent="0.25">
      <c r="U209" s="215"/>
    </row>
    <row r="210" spans="21:21" ht="17.45" customHeight="1" x14ac:dyDescent="0.25">
      <c r="U210" s="215"/>
    </row>
    <row r="211" spans="21:21" ht="17.45" customHeight="1" x14ac:dyDescent="0.25">
      <c r="U211" s="215"/>
    </row>
    <row r="212" spans="21:21" ht="17.45" customHeight="1" x14ac:dyDescent="0.25">
      <c r="U212" s="215"/>
    </row>
    <row r="213" spans="21:21" ht="17.45" customHeight="1" x14ac:dyDescent="0.25">
      <c r="U213" s="215"/>
    </row>
    <row r="214" spans="21:21" ht="17.45" customHeight="1" x14ac:dyDescent="0.25">
      <c r="U214" s="215"/>
    </row>
    <row r="215" spans="21:21" ht="17.45" customHeight="1" x14ac:dyDescent="0.25">
      <c r="U215" s="215"/>
    </row>
    <row r="216" spans="21:21" ht="17.45" customHeight="1" x14ac:dyDescent="0.25">
      <c r="U216" s="215"/>
    </row>
    <row r="217" spans="21:21" ht="17.45" customHeight="1" x14ac:dyDescent="0.25">
      <c r="U217" s="215"/>
    </row>
    <row r="218" spans="21:21" ht="17.45" customHeight="1" x14ac:dyDescent="0.25">
      <c r="U218" s="215"/>
    </row>
    <row r="219" spans="21:21" ht="17.45" customHeight="1" x14ac:dyDescent="0.25">
      <c r="U219" s="215"/>
    </row>
    <row r="220" spans="21:21" ht="17.45" customHeight="1" x14ac:dyDescent="0.25">
      <c r="U220" s="215"/>
    </row>
    <row r="221" spans="21:21" ht="17.45" customHeight="1" x14ac:dyDescent="0.25">
      <c r="U221" s="215"/>
    </row>
    <row r="222" spans="21:21" ht="17.45" customHeight="1" x14ac:dyDescent="0.25">
      <c r="U222" s="215"/>
    </row>
    <row r="223" spans="21:21" ht="17.45" customHeight="1" x14ac:dyDescent="0.25">
      <c r="U223" s="215"/>
    </row>
    <row r="224" spans="21:21" ht="17.45" customHeight="1" x14ac:dyDescent="0.25">
      <c r="U224" s="215"/>
    </row>
    <row r="225" spans="21:21" ht="17.45" customHeight="1" x14ac:dyDescent="0.25">
      <c r="U225" s="215"/>
    </row>
    <row r="226" spans="21:21" ht="17.45" customHeight="1" x14ac:dyDescent="0.25">
      <c r="U226" s="215"/>
    </row>
    <row r="227" spans="21:21" ht="17.45" customHeight="1" x14ac:dyDescent="0.25">
      <c r="U227" s="215"/>
    </row>
    <row r="228" spans="21:21" ht="17.45" customHeight="1" x14ac:dyDescent="0.25">
      <c r="U228" s="215"/>
    </row>
    <row r="229" spans="21:21" ht="17.45" customHeight="1" x14ac:dyDescent="0.25">
      <c r="U229" s="215"/>
    </row>
    <row r="230" spans="21:21" ht="17.45" customHeight="1" x14ac:dyDescent="0.25">
      <c r="U230" s="215"/>
    </row>
    <row r="231" spans="21:21" ht="17.45" customHeight="1" x14ac:dyDescent="0.25">
      <c r="U231" s="215"/>
    </row>
    <row r="232" spans="21:21" ht="17.45" customHeight="1" x14ac:dyDescent="0.25">
      <c r="U232" s="215"/>
    </row>
    <row r="233" spans="21:21" ht="17.45" customHeight="1" x14ac:dyDescent="0.25">
      <c r="U233" s="215"/>
    </row>
    <row r="234" spans="21:21" ht="17.45" customHeight="1" x14ac:dyDescent="0.25">
      <c r="U234" s="215"/>
    </row>
    <row r="235" spans="21:21" ht="17.45" customHeight="1" x14ac:dyDescent="0.25">
      <c r="U235" s="215"/>
    </row>
    <row r="236" spans="21:21" ht="17.45" customHeight="1" x14ac:dyDescent="0.25">
      <c r="U236" s="215"/>
    </row>
    <row r="237" spans="21:21" ht="17.45" customHeight="1" x14ac:dyDescent="0.25">
      <c r="U237" s="215"/>
    </row>
    <row r="238" spans="21:21" ht="17.45" customHeight="1" x14ac:dyDescent="0.25">
      <c r="U238" s="215"/>
    </row>
    <row r="239" spans="21:21" ht="17.45" customHeight="1" x14ac:dyDescent="0.25">
      <c r="U239" s="215"/>
    </row>
    <row r="240" spans="21:21" ht="17.45" customHeight="1" x14ac:dyDescent="0.25">
      <c r="U240" s="215"/>
    </row>
    <row r="241" spans="21:21" ht="17.45" customHeight="1" x14ac:dyDescent="0.25">
      <c r="U241" s="215"/>
    </row>
    <row r="242" spans="21:21" ht="17.45" customHeight="1" x14ac:dyDescent="0.25">
      <c r="U242" s="215"/>
    </row>
    <row r="243" spans="21:21" ht="17.45" customHeight="1" x14ac:dyDescent="0.25">
      <c r="U243" s="215"/>
    </row>
    <row r="244" spans="21:21" ht="17.45" customHeight="1" x14ac:dyDescent="0.25">
      <c r="U244" s="215"/>
    </row>
    <row r="245" spans="21:21" ht="17.45" customHeight="1" x14ac:dyDescent="0.25">
      <c r="U245" s="215"/>
    </row>
    <row r="246" spans="21:21" ht="17.45" customHeight="1" x14ac:dyDescent="0.25">
      <c r="U246" s="215"/>
    </row>
    <row r="247" spans="21:21" ht="17.45" customHeight="1" x14ac:dyDescent="0.25">
      <c r="U247" s="215"/>
    </row>
    <row r="248" spans="21:21" ht="17.45" customHeight="1" x14ac:dyDescent="0.25">
      <c r="U248" s="215"/>
    </row>
    <row r="249" spans="21:21" ht="17.45" customHeight="1" x14ac:dyDescent="0.25">
      <c r="U249" s="215"/>
    </row>
    <row r="250" spans="21:21" ht="17.45" customHeight="1" x14ac:dyDescent="0.25">
      <c r="U250" s="215"/>
    </row>
    <row r="251" spans="21:21" ht="17.45" customHeight="1" x14ac:dyDescent="0.25">
      <c r="U251" s="215"/>
    </row>
    <row r="252" spans="21:21" ht="17.45" customHeight="1" x14ac:dyDescent="0.25">
      <c r="U252" s="215"/>
    </row>
    <row r="253" spans="21:21" ht="17.45" customHeight="1" x14ac:dyDescent="0.25">
      <c r="U253" s="215"/>
    </row>
    <row r="254" spans="21:21" ht="17.45" customHeight="1" x14ac:dyDescent="0.25">
      <c r="U254" s="215"/>
    </row>
    <row r="255" spans="21:21" ht="17.45" customHeight="1" x14ac:dyDescent="0.25">
      <c r="U255" s="215"/>
    </row>
    <row r="256" spans="21:21" ht="17.45" customHeight="1" x14ac:dyDescent="0.25">
      <c r="U256" s="215"/>
    </row>
    <row r="257" spans="21:21" ht="17.45" customHeight="1" x14ac:dyDescent="0.25">
      <c r="U257" s="215"/>
    </row>
    <row r="258" spans="21:21" ht="17.45" customHeight="1" x14ac:dyDescent="0.25">
      <c r="U258" s="215"/>
    </row>
    <row r="259" spans="21:21" ht="17.45" customHeight="1" x14ac:dyDescent="0.25">
      <c r="U259" s="215"/>
    </row>
    <row r="260" spans="21:21" ht="17.45" customHeight="1" x14ac:dyDescent="0.25">
      <c r="U260" s="215"/>
    </row>
    <row r="261" spans="21:21" ht="17.45" customHeight="1" x14ac:dyDescent="0.25">
      <c r="U261" s="215"/>
    </row>
    <row r="262" spans="21:21" ht="17.45" customHeight="1" x14ac:dyDescent="0.25">
      <c r="U262" s="215"/>
    </row>
    <row r="263" spans="21:21" ht="17.45" customHeight="1" x14ac:dyDescent="0.25">
      <c r="U263" s="215"/>
    </row>
    <row r="264" spans="21:21" ht="17.45" customHeight="1" x14ac:dyDescent="0.25">
      <c r="U264" s="215"/>
    </row>
    <row r="265" spans="21:21" ht="17.45" customHeight="1" x14ac:dyDescent="0.25">
      <c r="U265" s="215"/>
    </row>
    <row r="266" spans="21:21" ht="17.45" customHeight="1" x14ac:dyDescent="0.25">
      <c r="U266" s="215"/>
    </row>
  </sheetData>
  <phoneticPr fontId="8" type="noConversion"/>
  <conditionalFormatting sqref="P1 L32:L45 U1 U10:U11 M37 M51:M56 M33 A1 B1:B2">
    <cfRule type="cellIs" dxfId="20" priority="34" operator="equal">
      <formula>0</formula>
    </cfRule>
  </conditionalFormatting>
  <conditionalFormatting sqref="O1">
    <cfRule type="cellIs" dxfId="19" priority="33" operator="equal">
      <formula>0</formula>
    </cfRule>
  </conditionalFormatting>
  <conditionalFormatting sqref="M1">
    <cfRule type="cellIs" dxfId="18" priority="32" operator="equal">
      <formula>0</formula>
    </cfRule>
  </conditionalFormatting>
  <conditionalFormatting sqref="D1">
    <cfRule type="cellIs" dxfId="17" priority="27" operator="equal">
      <formula>0</formula>
    </cfRule>
  </conditionalFormatting>
  <conditionalFormatting sqref="G1:H1">
    <cfRule type="cellIs" dxfId="16" priority="26" operator="equal">
      <formula>0</formula>
    </cfRule>
  </conditionalFormatting>
  <conditionalFormatting sqref="C1">
    <cfRule type="cellIs" dxfId="15" priority="25" operator="equal">
      <formula>0</formula>
    </cfRule>
  </conditionalFormatting>
  <conditionalFormatting sqref="E1">
    <cfRule type="cellIs" dxfId="14" priority="23" operator="equal">
      <formula>0</formula>
    </cfRule>
  </conditionalFormatting>
  <conditionalFormatting sqref="F1">
    <cfRule type="cellIs" dxfId="13" priority="22" operator="equal">
      <formula>0</formula>
    </cfRule>
  </conditionalFormatting>
  <conditionalFormatting sqref="L31">
    <cfRule type="cellIs" dxfId="12" priority="19" operator="equal">
      <formula>0</formula>
    </cfRule>
  </conditionalFormatting>
  <conditionalFormatting sqref="U267:U1048576">
    <cfRule type="cellIs" dxfId="11" priority="18" operator="equal">
      <formula>0</formula>
    </cfRule>
  </conditionalFormatting>
  <conditionalFormatting sqref="S31:Y49">
    <cfRule type="cellIs" dxfId="10" priority="15" operator="equal">
      <formula>0</formula>
    </cfRule>
  </conditionalFormatting>
  <conditionalFormatting sqref="L15:L17">
    <cfRule type="cellIs" dxfId="9" priority="14" operator="equal">
      <formula>0</formula>
    </cfRule>
  </conditionalFormatting>
  <conditionalFormatting sqref="L18:L19">
    <cfRule type="cellIs" dxfId="8" priority="13" operator="equal">
      <formula>0</formula>
    </cfRule>
  </conditionalFormatting>
  <conditionalFormatting sqref="L22">
    <cfRule type="cellIs" dxfId="7" priority="12" operator="equal">
      <formula>0</formula>
    </cfRule>
  </conditionalFormatting>
  <conditionalFormatting sqref="L2:L14">
    <cfRule type="cellIs" dxfId="6" priority="11" operator="equal">
      <formula>0</formula>
    </cfRule>
  </conditionalFormatting>
  <conditionalFormatting sqref="L25">
    <cfRule type="cellIs" dxfId="5" priority="10" operator="equal">
      <formula>0</formula>
    </cfRule>
  </conditionalFormatting>
  <conditionalFormatting sqref="L23:L24">
    <cfRule type="cellIs" dxfId="4" priority="9" operator="equal">
      <formula>0</formula>
    </cfRule>
  </conditionalFormatting>
  <conditionalFormatting sqref="L26">
    <cfRule type="cellIs" dxfId="3" priority="8" operator="equal">
      <formula>0</formula>
    </cfRule>
  </conditionalFormatting>
  <conditionalFormatting sqref="L20:L21">
    <cfRule type="cellIs" dxfId="2" priority="7" operator="equal">
      <formula>0</formula>
    </cfRule>
  </conditionalFormatting>
  <conditionalFormatting sqref="B2">
    <cfRule type="duplicateValues" dxfId="1" priority="38"/>
    <cfRule type="duplicateValues" dxfId="0" priority="39"/>
  </conditionalFormatting>
  <pageMargins left="0.7" right="0.7" top="0.75" bottom="0.75" header="0.3" footer="0.3"/>
  <ignoredErrors>
    <ignoredError sqref="B2:B26" numberStoredAsText="1"/>
  </ignoredErrors>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A9F82-24D6-4A51-9B16-F0B41494977C}">
  <sheetPr>
    <tabColor rgb="FF7030A0"/>
  </sheetPr>
  <dimension ref="A1:E22"/>
  <sheetViews>
    <sheetView zoomScale="115" zoomScaleNormal="115" workbookViewId="0">
      <selection activeCell="B14" sqref="B14"/>
    </sheetView>
  </sheetViews>
  <sheetFormatPr defaultRowHeight="15" x14ac:dyDescent="0.25"/>
  <cols>
    <col min="1" max="1" width="48.28515625" customWidth="1"/>
    <col min="2" max="2" width="24.7109375" bestFit="1" customWidth="1"/>
    <col min="3" max="4" width="27.85546875" bestFit="1" customWidth="1"/>
    <col min="5" max="5" width="19.7109375" bestFit="1" customWidth="1"/>
  </cols>
  <sheetData>
    <row r="1" spans="1:5" ht="15.75" thickBot="1" x14ac:dyDescent="0.3">
      <c r="A1" s="128" t="s">
        <v>459</v>
      </c>
    </row>
    <row r="2" spans="1:5" ht="30.75" thickBot="1" x14ac:dyDescent="0.3">
      <c r="A2" s="129" t="s">
        <v>257</v>
      </c>
      <c r="B2" s="130" t="s">
        <v>460</v>
      </c>
      <c r="C2" s="130" t="s">
        <v>461</v>
      </c>
      <c r="D2" s="130" t="s">
        <v>462</v>
      </c>
      <c r="E2" s="130" t="s">
        <v>458</v>
      </c>
    </row>
    <row r="3" spans="1:5" x14ac:dyDescent="0.25">
      <c r="A3" s="3" t="s">
        <v>397</v>
      </c>
      <c r="B3" s="131">
        <v>1452937</v>
      </c>
      <c r="C3" s="131">
        <v>141315.68</v>
      </c>
      <c r="D3" s="131">
        <v>73579.100000000006</v>
      </c>
      <c r="E3" s="131">
        <v>1667831.79</v>
      </c>
    </row>
    <row r="4" spans="1:5" ht="15.75" thickBot="1" x14ac:dyDescent="0.3">
      <c r="A4" s="3" t="s">
        <v>398</v>
      </c>
      <c r="B4" s="131">
        <v>1555099.46</v>
      </c>
      <c r="C4" s="131">
        <v>56112.51</v>
      </c>
      <c r="D4" s="131">
        <v>27628.67</v>
      </c>
      <c r="E4" s="131">
        <v>1638840.65</v>
      </c>
    </row>
    <row r="5" spans="1:5" ht="15.75" thickBot="1" x14ac:dyDescent="0.3">
      <c r="A5" s="132" t="s">
        <v>235</v>
      </c>
      <c r="B5" s="133">
        <v>3008036.47</v>
      </c>
      <c r="C5" s="133">
        <v>197428.19</v>
      </c>
      <c r="D5" s="133">
        <v>101207.77</v>
      </c>
      <c r="E5" s="133">
        <v>3306672.43</v>
      </c>
    </row>
    <row r="6" spans="1:5" x14ac:dyDescent="0.25">
      <c r="A6" s="3"/>
    </row>
    <row r="7" spans="1:5" ht="15.75" thickBot="1" x14ac:dyDescent="0.3">
      <c r="A7" s="134" t="s">
        <v>463</v>
      </c>
    </row>
    <row r="8" spans="1:5" ht="30.75" thickBot="1" x14ac:dyDescent="0.3">
      <c r="A8" s="129" t="s">
        <v>257</v>
      </c>
      <c r="B8" s="130" t="s">
        <v>460</v>
      </c>
      <c r="C8" s="130" t="s">
        <v>461</v>
      </c>
      <c r="D8" s="130" t="s">
        <v>462</v>
      </c>
      <c r="E8" s="130" t="s">
        <v>458</v>
      </c>
    </row>
    <row r="9" spans="1:5" x14ac:dyDescent="0.25">
      <c r="A9" s="3" t="s">
        <v>252</v>
      </c>
      <c r="B9" s="131">
        <v>314254.21999999997</v>
      </c>
      <c r="C9" s="131">
        <v>34846.11</v>
      </c>
      <c r="D9" s="131">
        <v>27205.02</v>
      </c>
      <c r="E9" s="131">
        <v>314254.21999999997</v>
      </c>
    </row>
    <row r="10" spans="1:5" x14ac:dyDescent="0.25">
      <c r="A10" s="3" t="s">
        <v>371</v>
      </c>
      <c r="B10" s="131">
        <v>1167258.93</v>
      </c>
      <c r="C10" s="131">
        <v>103851.58</v>
      </c>
      <c r="D10" s="131">
        <v>46374.080000000002</v>
      </c>
      <c r="E10" s="131">
        <v>1167258.93</v>
      </c>
    </row>
    <row r="11" spans="1:5" x14ac:dyDescent="0.25">
      <c r="A11" s="3" t="s">
        <v>439</v>
      </c>
      <c r="B11" s="131">
        <v>1503789.07</v>
      </c>
      <c r="C11" s="131">
        <v>47560.78</v>
      </c>
      <c r="D11" s="131">
        <v>27628.67</v>
      </c>
      <c r="E11" s="131">
        <v>1503789.07</v>
      </c>
    </row>
    <row r="12" spans="1:5" ht="15.75" thickBot="1" x14ac:dyDescent="0.3">
      <c r="A12" s="3" t="s">
        <v>440</v>
      </c>
      <c r="B12" s="131">
        <v>22734.240000000002</v>
      </c>
      <c r="C12" s="131">
        <v>11169.72</v>
      </c>
      <c r="E12" s="131">
        <v>22734.240000000002</v>
      </c>
    </row>
    <row r="13" spans="1:5" ht="15.75" thickBot="1" x14ac:dyDescent="0.3">
      <c r="A13" s="132" t="s">
        <v>235</v>
      </c>
      <c r="B13" s="133">
        <v>3008036.47</v>
      </c>
      <c r="C13" s="133">
        <v>197428.19</v>
      </c>
      <c r="D13" s="133">
        <v>101207.77</v>
      </c>
      <c r="E13" s="133">
        <v>3008036.47</v>
      </c>
    </row>
    <row r="14" spans="1:5" x14ac:dyDescent="0.25">
      <c r="A14" s="3"/>
    </row>
    <row r="15" spans="1:5" ht="15.75" thickBot="1" x14ac:dyDescent="0.3">
      <c r="A15" s="134" t="s">
        <v>464</v>
      </c>
    </row>
    <row r="16" spans="1:5" ht="30.75" thickBot="1" x14ac:dyDescent="0.3">
      <c r="A16" s="135" t="s">
        <v>257</v>
      </c>
      <c r="B16" s="136" t="s">
        <v>465</v>
      </c>
      <c r="C16" s="136" t="s">
        <v>466</v>
      </c>
      <c r="D16" s="136" t="s">
        <v>467</v>
      </c>
      <c r="E16" s="136" t="s">
        <v>458</v>
      </c>
    </row>
    <row r="17" spans="1:5" x14ac:dyDescent="0.25">
      <c r="A17" s="3" t="s">
        <v>252</v>
      </c>
      <c r="B17" s="137">
        <v>51310.39</v>
      </c>
      <c r="C17" s="138" t="s">
        <v>468</v>
      </c>
      <c r="D17" s="137">
        <v>262943.83</v>
      </c>
      <c r="E17" s="137">
        <v>314254.21999999997</v>
      </c>
    </row>
    <row r="18" spans="1:5" x14ac:dyDescent="0.25">
      <c r="A18" s="3" t="s">
        <v>371</v>
      </c>
      <c r="B18" s="138" t="s">
        <v>469</v>
      </c>
      <c r="C18" s="137">
        <v>1001539.31</v>
      </c>
      <c r="D18" s="137">
        <v>165719.62</v>
      </c>
      <c r="E18" s="137">
        <v>1167258.93</v>
      </c>
    </row>
    <row r="19" spans="1:5" x14ac:dyDescent="0.25">
      <c r="A19" s="3" t="s">
        <v>439</v>
      </c>
      <c r="B19" s="137">
        <v>951215.66</v>
      </c>
      <c r="C19" s="138" t="s">
        <v>468</v>
      </c>
      <c r="D19" s="137">
        <v>552573.41</v>
      </c>
      <c r="E19" s="137">
        <v>1503789.07</v>
      </c>
    </row>
    <row r="20" spans="1:5" ht="15.75" thickBot="1" x14ac:dyDescent="0.3">
      <c r="A20" s="3" t="s">
        <v>440</v>
      </c>
      <c r="B20" s="138" t="s">
        <v>469</v>
      </c>
      <c r="C20" s="138" t="s">
        <v>468</v>
      </c>
      <c r="D20" s="137">
        <v>22734.240000000002</v>
      </c>
      <c r="E20" s="137">
        <v>22734.240000000002</v>
      </c>
    </row>
    <row r="21" spans="1:5" ht="15.75" thickBot="1" x14ac:dyDescent="0.3">
      <c r="A21" s="132" t="s">
        <v>235</v>
      </c>
      <c r="B21" s="139">
        <v>1002526.05</v>
      </c>
      <c r="C21" s="139">
        <v>1001539.31</v>
      </c>
      <c r="D21" s="139">
        <v>1003971.11</v>
      </c>
      <c r="E21" s="139">
        <v>3008036.47</v>
      </c>
    </row>
    <row r="22" spans="1:5" x14ac:dyDescent="0.25">
      <c r="A22"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A04D2-F2E5-441B-84EF-6C01178B5016}">
  <dimension ref="A1:W49"/>
  <sheetViews>
    <sheetView workbookViewId="0">
      <selection activeCell="A3" sqref="A3:A22"/>
    </sheetView>
  </sheetViews>
  <sheetFormatPr defaultRowHeight="15" x14ac:dyDescent="0.25"/>
  <cols>
    <col min="1" max="1" width="53.28515625" customWidth="1"/>
    <col min="2" max="2" width="75" customWidth="1"/>
    <col min="4" max="4" width="38.5703125" customWidth="1"/>
    <col min="8" max="8" width="14" customWidth="1"/>
    <col min="9" max="9" width="25.7109375" customWidth="1"/>
    <col min="10" max="10" width="12.42578125" customWidth="1"/>
    <col min="11" max="11" width="13.5703125" customWidth="1"/>
    <col min="12" max="12" width="13.42578125" customWidth="1"/>
    <col min="14" max="14" width="31.140625" customWidth="1"/>
  </cols>
  <sheetData>
    <row r="1" spans="1:12" x14ac:dyDescent="0.25">
      <c r="A1" t="s">
        <v>261</v>
      </c>
      <c r="B1" t="s">
        <v>262</v>
      </c>
      <c r="C1" t="s">
        <v>263</v>
      </c>
      <c r="D1" t="s">
        <v>264</v>
      </c>
      <c r="E1" t="s">
        <v>265</v>
      </c>
      <c r="H1" t="s">
        <v>266</v>
      </c>
      <c r="I1" t="s">
        <v>267</v>
      </c>
      <c r="J1" t="s">
        <v>268</v>
      </c>
      <c r="K1" t="s">
        <v>269</v>
      </c>
      <c r="L1" t="s">
        <v>270</v>
      </c>
    </row>
    <row r="2" spans="1:12" x14ac:dyDescent="0.25">
      <c r="E2" t="s">
        <v>271</v>
      </c>
      <c r="F2" t="s">
        <v>272</v>
      </c>
      <c r="G2" t="s">
        <v>273</v>
      </c>
    </row>
    <row r="3" spans="1:12" ht="33" x14ac:dyDescent="0.25">
      <c r="A3" s="47" t="s">
        <v>352</v>
      </c>
      <c r="E3">
        <v>20</v>
      </c>
      <c r="F3">
        <v>10</v>
      </c>
      <c r="G3">
        <v>10</v>
      </c>
      <c r="H3" t="s">
        <v>375</v>
      </c>
      <c r="J3">
        <v>200000</v>
      </c>
      <c r="K3">
        <v>4000000</v>
      </c>
      <c r="L3">
        <v>62500</v>
      </c>
    </row>
    <row r="4" spans="1:12" ht="33" x14ac:dyDescent="0.25">
      <c r="A4" s="47" t="s">
        <v>352</v>
      </c>
      <c r="E4">
        <v>1</v>
      </c>
      <c r="F4">
        <v>1</v>
      </c>
      <c r="G4">
        <v>0</v>
      </c>
      <c r="J4">
        <v>260000</v>
      </c>
      <c r="K4">
        <v>2600000</v>
      </c>
      <c r="L4">
        <v>40625</v>
      </c>
    </row>
    <row r="5" spans="1:12" ht="33" x14ac:dyDescent="0.25">
      <c r="A5" s="47" t="s">
        <v>352</v>
      </c>
      <c r="E5">
        <v>60</v>
      </c>
      <c r="F5">
        <v>30</v>
      </c>
      <c r="G5">
        <v>30</v>
      </c>
      <c r="H5" t="s">
        <v>282</v>
      </c>
      <c r="J5">
        <v>80000</v>
      </c>
      <c r="K5">
        <v>4800000</v>
      </c>
      <c r="L5">
        <v>75000</v>
      </c>
    </row>
    <row r="6" spans="1:12" ht="33" x14ac:dyDescent="0.25">
      <c r="A6" s="47" t="s">
        <v>352</v>
      </c>
      <c r="E6">
        <v>90</v>
      </c>
      <c r="F6">
        <v>30</v>
      </c>
      <c r="G6">
        <v>60</v>
      </c>
      <c r="H6" t="s">
        <v>377</v>
      </c>
      <c r="J6">
        <v>8</v>
      </c>
      <c r="K6">
        <v>1440000</v>
      </c>
      <c r="L6">
        <v>22500</v>
      </c>
    </row>
    <row r="7" spans="1:12" ht="33" x14ac:dyDescent="0.25">
      <c r="A7" s="47" t="s">
        <v>352</v>
      </c>
      <c r="E7">
        <v>90</v>
      </c>
      <c r="F7">
        <v>30</v>
      </c>
      <c r="G7">
        <v>60</v>
      </c>
      <c r="H7" t="s">
        <v>379</v>
      </c>
      <c r="J7">
        <v>90</v>
      </c>
      <c r="K7">
        <v>8100000</v>
      </c>
      <c r="L7">
        <v>126562.5</v>
      </c>
    </row>
    <row r="8" spans="1:12" ht="33" x14ac:dyDescent="0.25">
      <c r="A8" s="47" t="s">
        <v>352</v>
      </c>
      <c r="E8">
        <v>90</v>
      </c>
      <c r="F8">
        <v>30</v>
      </c>
      <c r="G8">
        <v>60</v>
      </c>
      <c r="H8" t="s">
        <v>293</v>
      </c>
      <c r="J8">
        <v>23000</v>
      </c>
      <c r="K8">
        <v>46000</v>
      </c>
      <c r="L8">
        <v>718.75</v>
      </c>
    </row>
    <row r="9" spans="1:12" ht="33" x14ac:dyDescent="0.25">
      <c r="A9" s="47" t="s">
        <v>352</v>
      </c>
      <c r="E9">
        <v>30</v>
      </c>
      <c r="F9">
        <v>15</v>
      </c>
      <c r="G9">
        <v>15</v>
      </c>
      <c r="J9">
        <v>404080</v>
      </c>
      <c r="K9">
        <v>1212240</v>
      </c>
      <c r="L9">
        <v>18941.25</v>
      </c>
    </row>
    <row r="10" spans="1:12" ht="33" x14ac:dyDescent="0.25">
      <c r="A10" s="47" t="s">
        <v>352</v>
      </c>
      <c r="E10">
        <v>90</v>
      </c>
      <c r="F10">
        <v>30</v>
      </c>
      <c r="G10">
        <v>60</v>
      </c>
      <c r="H10" t="s">
        <v>298</v>
      </c>
      <c r="J10">
        <v>80000</v>
      </c>
      <c r="K10">
        <v>240000</v>
      </c>
      <c r="L10">
        <v>3750</v>
      </c>
    </row>
    <row r="11" spans="1:12" ht="33" x14ac:dyDescent="0.25">
      <c r="A11" s="47" t="s">
        <v>352</v>
      </c>
      <c r="E11">
        <v>60</v>
      </c>
      <c r="F11">
        <v>30</v>
      </c>
      <c r="G11">
        <v>30</v>
      </c>
      <c r="J11">
        <v>20000</v>
      </c>
      <c r="K11">
        <v>400000</v>
      </c>
      <c r="L11">
        <v>6250</v>
      </c>
    </row>
    <row r="12" spans="1:12" ht="16.5" x14ac:dyDescent="0.25">
      <c r="A12" s="47" t="s">
        <v>355</v>
      </c>
      <c r="E12">
        <v>90</v>
      </c>
      <c r="F12">
        <v>30</v>
      </c>
      <c r="G12">
        <v>60</v>
      </c>
      <c r="H12" t="s">
        <v>322</v>
      </c>
      <c r="J12">
        <v>18610</v>
      </c>
      <c r="K12">
        <v>818840</v>
      </c>
      <c r="L12">
        <v>12794.375</v>
      </c>
    </row>
    <row r="13" spans="1:12" ht="16.5" x14ac:dyDescent="0.25">
      <c r="A13" s="47" t="s">
        <v>355</v>
      </c>
      <c r="E13">
        <v>90</v>
      </c>
      <c r="F13">
        <v>30</v>
      </c>
      <c r="G13">
        <v>60</v>
      </c>
      <c r="H13" t="s">
        <v>325</v>
      </c>
      <c r="J13">
        <v>830570</v>
      </c>
      <c r="K13">
        <v>5813990</v>
      </c>
      <c r="L13">
        <v>90843.59375</v>
      </c>
    </row>
    <row r="14" spans="1:12" ht="16.5" x14ac:dyDescent="0.25">
      <c r="A14" s="47" t="s">
        <v>355</v>
      </c>
      <c r="E14">
        <v>90</v>
      </c>
      <c r="F14">
        <v>30</v>
      </c>
      <c r="G14">
        <v>60</v>
      </c>
      <c r="H14" t="s">
        <v>328</v>
      </c>
      <c r="J14">
        <v>9340</v>
      </c>
      <c r="K14">
        <v>2577840</v>
      </c>
      <c r="L14">
        <v>40278.75</v>
      </c>
    </row>
    <row r="15" spans="1:12" ht="16.5" x14ac:dyDescent="0.25">
      <c r="A15" s="47" t="s">
        <v>355</v>
      </c>
      <c r="E15">
        <v>500</v>
      </c>
      <c r="F15">
        <v>200</v>
      </c>
      <c r="G15">
        <v>300</v>
      </c>
      <c r="H15" t="s">
        <v>331</v>
      </c>
      <c r="J15">
        <v>130070</v>
      </c>
      <c r="K15">
        <v>390210</v>
      </c>
      <c r="L15">
        <v>6097.03125</v>
      </c>
    </row>
    <row r="16" spans="1:12" ht="16.5" x14ac:dyDescent="0.25">
      <c r="A16" s="47" t="s">
        <v>354</v>
      </c>
      <c r="E16">
        <v>23</v>
      </c>
      <c r="F16">
        <v>10</v>
      </c>
      <c r="G16">
        <v>13</v>
      </c>
      <c r="H16" t="s">
        <v>335</v>
      </c>
      <c r="J16">
        <v>70040</v>
      </c>
      <c r="K16">
        <v>1610920</v>
      </c>
      <c r="L16">
        <v>25170.625</v>
      </c>
    </row>
    <row r="17" spans="1:23" ht="16.5" x14ac:dyDescent="0.25">
      <c r="A17" s="47" t="s">
        <v>354</v>
      </c>
      <c r="E17">
        <v>59</v>
      </c>
      <c r="F17">
        <v>29</v>
      </c>
      <c r="G17">
        <v>30</v>
      </c>
      <c r="H17" t="s">
        <v>337</v>
      </c>
      <c r="J17">
        <v>115100</v>
      </c>
      <c r="K17">
        <v>6790900</v>
      </c>
      <c r="L17">
        <v>106107.8125</v>
      </c>
    </row>
    <row r="18" spans="1:23" ht="16.5" x14ac:dyDescent="0.25">
      <c r="A18" s="47" t="s">
        <v>354</v>
      </c>
      <c r="E18">
        <v>15</v>
      </c>
      <c r="F18">
        <v>8</v>
      </c>
      <c r="G18">
        <v>7</v>
      </c>
      <c r="H18" t="s">
        <v>339</v>
      </c>
      <c r="J18">
        <v>200000</v>
      </c>
      <c r="K18">
        <v>3000000</v>
      </c>
      <c r="L18">
        <v>46875</v>
      </c>
    </row>
    <row r="19" spans="1:23" ht="16.5" x14ac:dyDescent="0.25">
      <c r="A19" s="47" t="s">
        <v>354</v>
      </c>
      <c r="E19">
        <v>1</v>
      </c>
      <c r="F19">
        <v>1</v>
      </c>
      <c r="G19">
        <v>0</v>
      </c>
      <c r="J19">
        <v>4800000</v>
      </c>
      <c r="K19">
        <v>4800000</v>
      </c>
      <c r="L19">
        <v>75000</v>
      </c>
    </row>
    <row r="20" spans="1:23" ht="16.5" x14ac:dyDescent="0.25">
      <c r="A20" s="47" t="s">
        <v>354</v>
      </c>
      <c r="E20">
        <v>3</v>
      </c>
      <c r="F20">
        <v>2</v>
      </c>
      <c r="G20">
        <v>1</v>
      </c>
      <c r="J20">
        <v>2540000</v>
      </c>
      <c r="K20">
        <v>7620000</v>
      </c>
      <c r="L20">
        <v>119062.5</v>
      </c>
    </row>
    <row r="21" spans="1:23" ht="16.5" x14ac:dyDescent="0.25">
      <c r="A21" s="47" t="s">
        <v>354</v>
      </c>
      <c r="E21">
        <v>15</v>
      </c>
      <c r="F21">
        <v>8</v>
      </c>
      <c r="G21">
        <v>7</v>
      </c>
      <c r="J21">
        <v>200000</v>
      </c>
      <c r="K21">
        <v>3000000</v>
      </c>
      <c r="L21">
        <v>46875</v>
      </c>
    </row>
    <row r="22" spans="1:23" ht="16.5" x14ac:dyDescent="0.25">
      <c r="A22" s="47" t="s">
        <v>354</v>
      </c>
      <c r="E22">
        <v>60</v>
      </c>
      <c r="F22">
        <v>30</v>
      </c>
      <c r="G22">
        <v>30</v>
      </c>
      <c r="J22">
        <v>80000</v>
      </c>
      <c r="K22">
        <v>4800000</v>
      </c>
      <c r="L22">
        <v>75000</v>
      </c>
    </row>
    <row r="29" spans="1:23" ht="66" x14ac:dyDescent="0.25">
      <c r="A29" s="22" t="s">
        <v>0</v>
      </c>
      <c r="B29" s="46" t="s">
        <v>1</v>
      </c>
      <c r="C29" s="22" t="s">
        <v>380</v>
      </c>
      <c r="D29" s="22" t="s">
        <v>2</v>
      </c>
      <c r="E29" s="22" t="s">
        <v>3</v>
      </c>
      <c r="F29" s="22" t="s">
        <v>7</v>
      </c>
      <c r="G29" s="23" t="s">
        <v>187</v>
      </c>
      <c r="H29" s="24" t="s">
        <v>246</v>
      </c>
      <c r="I29" s="25" t="s">
        <v>4</v>
      </c>
      <c r="J29" s="32" t="s">
        <v>240</v>
      </c>
      <c r="K29" s="26" t="s">
        <v>6</v>
      </c>
      <c r="L29" s="22" t="s">
        <v>5</v>
      </c>
      <c r="M29" s="22" t="s">
        <v>189</v>
      </c>
      <c r="N29" s="46" t="s">
        <v>190</v>
      </c>
      <c r="O29" s="28" t="s">
        <v>192</v>
      </c>
      <c r="P29" s="28" t="s">
        <v>191</v>
      </c>
      <c r="Q29" s="28" t="s">
        <v>193</v>
      </c>
      <c r="R29" s="30" t="s">
        <v>253</v>
      </c>
      <c r="S29" s="30" t="s">
        <v>254</v>
      </c>
      <c r="T29" s="30" t="s">
        <v>255</v>
      </c>
      <c r="U29" s="74" t="s">
        <v>368</v>
      </c>
      <c r="V29" s="74" t="s">
        <v>369</v>
      </c>
      <c r="W29" s="29" t="s">
        <v>370</v>
      </c>
    </row>
    <row r="30" spans="1:23" x14ac:dyDescent="0.25">
      <c r="A30">
        <v>1</v>
      </c>
      <c r="B30" t="s">
        <v>374</v>
      </c>
      <c r="D30" t="s">
        <v>275</v>
      </c>
      <c r="F30">
        <v>1</v>
      </c>
      <c r="G30">
        <v>20</v>
      </c>
      <c r="I30">
        <v>62500</v>
      </c>
      <c r="J30" t="s">
        <v>241</v>
      </c>
      <c r="N30" t="s">
        <v>277</v>
      </c>
    </row>
    <row r="31" spans="1:23" x14ac:dyDescent="0.25">
      <c r="A31">
        <v>2</v>
      </c>
      <c r="B31" t="s">
        <v>278</v>
      </c>
      <c r="D31" t="s">
        <v>279</v>
      </c>
      <c r="F31">
        <v>1</v>
      </c>
      <c r="G31">
        <v>1</v>
      </c>
      <c r="I31">
        <v>40625</v>
      </c>
      <c r="J31" t="s">
        <v>241</v>
      </c>
      <c r="N31" t="s">
        <v>283</v>
      </c>
    </row>
    <row r="32" spans="1:23" x14ac:dyDescent="0.25">
      <c r="A32">
        <v>3</v>
      </c>
      <c r="B32" t="s">
        <v>280</v>
      </c>
      <c r="D32" t="s">
        <v>281</v>
      </c>
      <c r="F32">
        <v>1</v>
      </c>
      <c r="G32">
        <v>60</v>
      </c>
      <c r="I32">
        <v>75000</v>
      </c>
      <c r="J32" t="s">
        <v>241</v>
      </c>
      <c r="N32" t="s">
        <v>283</v>
      </c>
    </row>
    <row r="33" spans="1:14" x14ac:dyDescent="0.25">
      <c r="A33">
        <v>4</v>
      </c>
      <c r="B33" t="s">
        <v>376</v>
      </c>
      <c r="D33" t="s">
        <v>285</v>
      </c>
      <c r="F33">
        <v>1</v>
      </c>
      <c r="G33">
        <v>180000</v>
      </c>
      <c r="I33">
        <v>22500</v>
      </c>
      <c r="J33" t="s">
        <v>241</v>
      </c>
      <c r="N33" t="s">
        <v>287</v>
      </c>
    </row>
    <row r="34" spans="1:14" x14ac:dyDescent="0.25">
      <c r="A34">
        <v>5</v>
      </c>
      <c r="B34" t="s">
        <v>378</v>
      </c>
      <c r="D34" t="s">
        <v>289</v>
      </c>
      <c r="F34">
        <v>1</v>
      </c>
      <c r="G34">
        <v>90000</v>
      </c>
      <c r="I34">
        <v>126562.5</v>
      </c>
      <c r="J34" t="s">
        <v>241</v>
      </c>
      <c r="N34" t="s">
        <v>287</v>
      </c>
    </row>
    <row r="35" spans="1:14" x14ac:dyDescent="0.25">
      <c r="A35">
        <v>6</v>
      </c>
      <c r="B35" t="s">
        <v>291</v>
      </c>
      <c r="D35" t="s">
        <v>292</v>
      </c>
      <c r="F35">
        <v>1</v>
      </c>
      <c r="G35">
        <v>2</v>
      </c>
      <c r="I35">
        <v>718.75</v>
      </c>
      <c r="J35" t="s">
        <v>241</v>
      </c>
      <c r="N35" t="s">
        <v>287</v>
      </c>
    </row>
    <row r="36" spans="1:14" x14ac:dyDescent="0.25">
      <c r="A36">
        <v>7</v>
      </c>
      <c r="B36" t="s">
        <v>294</v>
      </c>
      <c r="D36" t="s">
        <v>295</v>
      </c>
      <c r="F36">
        <v>1</v>
      </c>
      <c r="G36">
        <v>3</v>
      </c>
      <c r="I36">
        <v>18941.25</v>
      </c>
      <c r="J36" t="s">
        <v>241</v>
      </c>
      <c r="N36" t="s">
        <v>296</v>
      </c>
    </row>
    <row r="37" spans="1:14" x14ac:dyDescent="0.25">
      <c r="A37">
        <v>8</v>
      </c>
      <c r="B37" t="s">
        <v>297</v>
      </c>
      <c r="D37" t="s">
        <v>295</v>
      </c>
      <c r="F37">
        <v>1</v>
      </c>
      <c r="G37">
        <v>3</v>
      </c>
      <c r="I37">
        <v>3750</v>
      </c>
      <c r="J37" t="s">
        <v>241</v>
      </c>
      <c r="N37" t="s">
        <v>296</v>
      </c>
    </row>
    <row r="38" spans="1:14" x14ac:dyDescent="0.25">
      <c r="A38">
        <v>9</v>
      </c>
      <c r="B38" t="s">
        <v>315</v>
      </c>
      <c r="D38" t="s">
        <v>308</v>
      </c>
      <c r="F38">
        <v>1</v>
      </c>
      <c r="G38">
        <v>20</v>
      </c>
      <c r="I38">
        <v>6250</v>
      </c>
      <c r="J38" t="s">
        <v>241</v>
      </c>
    </row>
    <row r="39" spans="1:14" x14ac:dyDescent="0.25">
      <c r="A39">
        <v>10</v>
      </c>
      <c r="B39" t="s">
        <v>320</v>
      </c>
      <c r="D39" t="s">
        <v>321</v>
      </c>
      <c r="F39">
        <v>1</v>
      </c>
      <c r="G39">
        <v>44</v>
      </c>
      <c r="I39">
        <v>12794.375</v>
      </c>
      <c r="J39" t="s">
        <v>241</v>
      </c>
      <c r="N39" t="s">
        <v>301</v>
      </c>
    </row>
    <row r="40" spans="1:14" x14ac:dyDescent="0.25">
      <c r="A40">
        <v>11</v>
      </c>
      <c r="B40" t="s">
        <v>323</v>
      </c>
      <c r="D40" t="s">
        <v>324</v>
      </c>
      <c r="F40">
        <v>1</v>
      </c>
      <c r="G40">
        <v>7</v>
      </c>
      <c r="I40">
        <v>90843.59375</v>
      </c>
      <c r="J40" t="s">
        <v>241</v>
      </c>
      <c r="N40" t="s">
        <v>301</v>
      </c>
    </row>
    <row r="41" spans="1:14" x14ac:dyDescent="0.25">
      <c r="A41">
        <v>12</v>
      </c>
      <c r="B41" t="s">
        <v>326</v>
      </c>
      <c r="D41" t="s">
        <v>327</v>
      </c>
      <c r="F41">
        <v>1</v>
      </c>
      <c r="G41">
        <v>276</v>
      </c>
      <c r="I41">
        <v>40278.75</v>
      </c>
      <c r="J41" t="s">
        <v>241</v>
      </c>
      <c r="N41" t="s">
        <v>301</v>
      </c>
    </row>
    <row r="42" spans="1:14" x14ac:dyDescent="0.25">
      <c r="A42">
        <v>13</v>
      </c>
      <c r="B42" t="s">
        <v>329</v>
      </c>
      <c r="D42" t="s">
        <v>330</v>
      </c>
      <c r="F42">
        <v>1</v>
      </c>
      <c r="G42">
        <v>3</v>
      </c>
      <c r="I42">
        <v>6097.03125</v>
      </c>
      <c r="J42" t="s">
        <v>241</v>
      </c>
      <c r="N42" t="s">
        <v>301</v>
      </c>
    </row>
    <row r="43" spans="1:14" x14ac:dyDescent="0.25">
      <c r="A43">
        <v>14</v>
      </c>
      <c r="B43" t="s">
        <v>333</v>
      </c>
      <c r="D43" t="s">
        <v>334</v>
      </c>
      <c r="F43">
        <v>1</v>
      </c>
      <c r="G43">
        <v>23</v>
      </c>
      <c r="I43">
        <v>25170.625</v>
      </c>
      <c r="J43" t="s">
        <v>241</v>
      </c>
      <c r="N43" t="s">
        <v>277</v>
      </c>
    </row>
    <row r="44" spans="1:14" x14ac:dyDescent="0.25">
      <c r="A44">
        <v>15</v>
      </c>
      <c r="B44" t="s">
        <v>336</v>
      </c>
      <c r="D44" t="s">
        <v>334</v>
      </c>
      <c r="F44">
        <v>1</v>
      </c>
      <c r="G44">
        <v>59</v>
      </c>
      <c r="I44">
        <v>106107.8125</v>
      </c>
      <c r="J44" t="s">
        <v>241</v>
      </c>
      <c r="N44" t="s">
        <v>277</v>
      </c>
    </row>
    <row r="45" spans="1:14" x14ac:dyDescent="0.25">
      <c r="A45">
        <v>16</v>
      </c>
      <c r="B45" t="s">
        <v>338</v>
      </c>
      <c r="D45" t="s">
        <v>334</v>
      </c>
      <c r="F45">
        <v>1</v>
      </c>
      <c r="G45">
        <v>15</v>
      </c>
      <c r="I45">
        <v>46875</v>
      </c>
      <c r="J45" t="s">
        <v>241</v>
      </c>
      <c r="N45" t="s">
        <v>277</v>
      </c>
    </row>
    <row r="46" spans="1:14" x14ac:dyDescent="0.25">
      <c r="A46">
        <v>17</v>
      </c>
      <c r="B46" t="s">
        <v>340</v>
      </c>
      <c r="D46" t="s">
        <v>341</v>
      </c>
      <c r="F46">
        <v>1</v>
      </c>
      <c r="G46">
        <v>1</v>
      </c>
      <c r="I46">
        <v>75000</v>
      </c>
      <c r="J46" t="s">
        <v>241</v>
      </c>
    </row>
    <row r="47" spans="1:14" x14ac:dyDescent="0.25">
      <c r="A47">
        <v>18</v>
      </c>
      <c r="B47" t="s">
        <v>342</v>
      </c>
      <c r="D47" t="s">
        <v>343</v>
      </c>
      <c r="F47">
        <v>1</v>
      </c>
      <c r="G47">
        <v>3</v>
      </c>
      <c r="I47">
        <v>119062.5</v>
      </c>
      <c r="J47" t="s">
        <v>241</v>
      </c>
    </row>
    <row r="48" spans="1:14" x14ac:dyDescent="0.25">
      <c r="A48">
        <v>19</v>
      </c>
      <c r="B48" t="s">
        <v>344</v>
      </c>
      <c r="D48" t="s">
        <v>345</v>
      </c>
      <c r="F48">
        <v>1</v>
      </c>
      <c r="G48">
        <v>15</v>
      </c>
      <c r="I48">
        <v>46875</v>
      </c>
      <c r="J48" t="s">
        <v>241</v>
      </c>
    </row>
    <row r="49" spans="1:10" x14ac:dyDescent="0.25">
      <c r="A49">
        <v>20</v>
      </c>
      <c r="B49" t="s">
        <v>346</v>
      </c>
      <c r="D49" t="s">
        <v>347</v>
      </c>
      <c r="F49">
        <v>1</v>
      </c>
      <c r="G49">
        <v>60</v>
      </c>
      <c r="I49">
        <v>75000</v>
      </c>
      <c r="J49" t="s">
        <v>241</v>
      </c>
    </row>
  </sheetData>
  <dataValidations count="1">
    <dataValidation allowBlank="1" sqref="D29" xr:uid="{9FFE1B8A-B1F1-4B23-9199-1A98950A97C8}"/>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Sheet5</vt:lpstr>
      <vt:lpstr>MIMAIP</vt:lpstr>
      <vt:lpstr>summary</vt:lpstr>
      <vt:lpstr>Sheet1</vt:lpstr>
      <vt:lpstr>RESUMO LIGADO</vt:lpstr>
      <vt:lpstr>DETALHES</vt:lpstr>
      <vt:lpstr>cri_costabs</vt:lpstr>
      <vt:lpstr>RESUMO</vt:lpstr>
      <vt:lpstr>Sheet7</vt:lpstr>
      <vt:lpstr>Sheet4</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BZunguze</dc:creator>
  <cp:lastModifiedBy>UNGP PROCAVA</cp:lastModifiedBy>
  <dcterms:created xsi:type="dcterms:W3CDTF">2022-06-27T10:07:20Z</dcterms:created>
  <dcterms:modified xsi:type="dcterms:W3CDTF">2022-09-01T07:05:36Z</dcterms:modified>
</cp:coreProperties>
</file>