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i/Dropbox/Development/PycharmProjects/pyMin3/src/"/>
    </mc:Choice>
  </mc:AlternateContent>
  <xr:revisionPtr revIDLastSave="0" documentId="8_{71EA16A4-195F-594B-BCF7-98262B4DF186}" xr6:coauthVersionLast="46" xr6:coauthVersionMax="46" xr10:uidLastSave="{00000000-0000-0000-0000-000000000000}"/>
  <bookViews>
    <workbookView xWindow="3080" yWindow="500" windowWidth="23840" windowHeight="16580" tabRatio="766" activeTab="8" xr2:uid="{00000000-000D-0000-FFFF-FFFF00000000}"/>
  </bookViews>
  <sheets>
    <sheet name="Ab" sheetId="1" r:id="rId1"/>
    <sheet name="Na-anph. MT-87-1a" sheetId="2" r:id="rId2"/>
    <sheet name="Anph.-Holl" sheetId="3" r:id="rId3"/>
    <sheet name="Biotite" sheetId="4" r:id="rId4"/>
    <sheet name="chlorite_02" sheetId="5" r:id="rId5"/>
    <sheet name="Chl.-Pognnte" sheetId="6" r:id="rId6"/>
    <sheet name="Chltd" sheetId="7" r:id="rId7"/>
    <sheet name="Epidoto" sheetId="8" r:id="rId8"/>
    <sheet name="titanite" sheetId="9" r:id="rId9"/>
    <sheet name="Garnets" sheetId="10" r:id="rId10"/>
    <sheet name="Ms.(Fe2)-Massone" sheetId="11" r:id="rId11"/>
    <sheet name="Paragonit" sheetId="12" r:id="rId12"/>
    <sheet name="Px-Massone" sheetId="13" r:id="rId13"/>
    <sheet name="PX-Powell" sheetId="14" r:id="rId14"/>
    <sheet name="spinel.xls" sheetId="18" r:id="rId15"/>
    <sheet name="Sheet14" sheetId="15" r:id="rId16"/>
    <sheet name="Sheet15" sheetId="16" r:id="rId17"/>
    <sheet name="Sheet16" sheetId="17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8" l="1"/>
  <c r="M78" i="18"/>
  <c r="M67" i="18"/>
  <c r="M79" i="18" s="1"/>
  <c r="M68" i="18"/>
  <c r="M80" i="18" s="1"/>
  <c r="M69" i="18"/>
  <c r="M81" i="18"/>
  <c r="M70" i="18"/>
  <c r="M82" i="18"/>
  <c r="M71" i="18"/>
  <c r="M83" i="18" s="1"/>
  <c r="M72" i="18"/>
  <c r="M84" i="18" s="1"/>
  <c r="M73" i="18"/>
  <c r="M85" i="18"/>
  <c r="M74" i="18"/>
  <c r="M86" i="18"/>
  <c r="M75" i="18"/>
  <c r="M87" i="18" s="1"/>
  <c r="L66" i="18"/>
  <c r="L78" i="18" s="1"/>
  <c r="L67" i="18"/>
  <c r="L79" i="18" s="1"/>
  <c r="L68" i="18"/>
  <c r="L80" i="18" s="1"/>
  <c r="L69" i="18"/>
  <c r="L70" i="18"/>
  <c r="L82" i="18"/>
  <c r="L71" i="18"/>
  <c r="L83" i="18" s="1"/>
  <c r="L72" i="18"/>
  <c r="L84" i="18" s="1"/>
  <c r="L73" i="18"/>
  <c r="L85" i="18" s="1"/>
  <c r="L74" i="18"/>
  <c r="L86" i="18"/>
  <c r="L75" i="18"/>
  <c r="L87" i="18" s="1"/>
  <c r="K66" i="18"/>
  <c r="K78" i="18"/>
  <c r="K67" i="18"/>
  <c r="K79" i="18"/>
  <c r="K68" i="18"/>
  <c r="K80" i="18" s="1"/>
  <c r="K69" i="18"/>
  <c r="K81" i="18" s="1"/>
  <c r="K70" i="18"/>
  <c r="K82" i="18"/>
  <c r="K71" i="18"/>
  <c r="K83" i="18"/>
  <c r="K72" i="18"/>
  <c r="K84" i="18"/>
  <c r="K73" i="18"/>
  <c r="K85" i="18" s="1"/>
  <c r="K74" i="18"/>
  <c r="K86" i="18"/>
  <c r="K75" i="18"/>
  <c r="K87" i="18"/>
  <c r="M76" i="18"/>
  <c r="K76" i="18"/>
  <c r="M14" i="18"/>
  <c r="L14" i="18"/>
  <c r="K14" i="18"/>
  <c r="J14" i="18"/>
  <c r="J70" i="18"/>
  <c r="J82" i="18" s="1"/>
  <c r="J66" i="18"/>
  <c r="J78" i="18" s="1"/>
  <c r="J67" i="18"/>
  <c r="J79" i="18" s="1"/>
  <c r="J68" i="18"/>
  <c r="J80" i="18"/>
  <c r="J69" i="18"/>
  <c r="J81" i="18" s="1"/>
  <c r="J71" i="18"/>
  <c r="J83" i="18" s="1"/>
  <c r="J72" i="18"/>
  <c r="J84" i="18"/>
  <c r="J73" i="18"/>
  <c r="J85" i="18"/>
  <c r="J74" i="18"/>
  <c r="J86" i="18" s="1"/>
  <c r="J75" i="18"/>
  <c r="J87" i="18" s="1"/>
  <c r="J76" i="18"/>
  <c r="I66" i="18"/>
  <c r="I78" i="18" s="1"/>
  <c r="I67" i="18"/>
  <c r="I79" i="18" s="1"/>
  <c r="I68" i="18"/>
  <c r="I80" i="18"/>
  <c r="I69" i="18"/>
  <c r="I81" i="18" s="1"/>
  <c r="I70" i="18"/>
  <c r="I82" i="18" s="1"/>
  <c r="I71" i="18"/>
  <c r="I83" i="18" s="1"/>
  <c r="I72" i="18"/>
  <c r="I84" i="18"/>
  <c r="I73" i="18"/>
  <c r="I85" i="18" s="1"/>
  <c r="I74" i="18"/>
  <c r="I86" i="18" s="1"/>
  <c r="I75" i="18"/>
  <c r="I87" i="18" s="1"/>
  <c r="H66" i="18"/>
  <c r="H78" i="18" s="1"/>
  <c r="H67" i="18"/>
  <c r="H68" i="18"/>
  <c r="H80" i="18" s="1"/>
  <c r="H69" i="18"/>
  <c r="H81" i="18" s="1"/>
  <c r="H70" i="18"/>
  <c r="H82" i="18" s="1"/>
  <c r="H71" i="18"/>
  <c r="H83" i="18" s="1"/>
  <c r="H72" i="18"/>
  <c r="H84" i="18" s="1"/>
  <c r="H73" i="18"/>
  <c r="H85" i="18" s="1"/>
  <c r="H74" i="18"/>
  <c r="H86" i="18" s="1"/>
  <c r="H75" i="18"/>
  <c r="H87" i="18" s="1"/>
  <c r="I76" i="18"/>
  <c r="H14" i="18"/>
  <c r="I14" i="18"/>
  <c r="B14" i="18"/>
  <c r="C14" i="18"/>
  <c r="D14" i="18"/>
  <c r="E14" i="18"/>
  <c r="F14" i="18"/>
  <c r="G14" i="18"/>
  <c r="B70" i="18"/>
  <c r="B82" i="18"/>
  <c r="B66" i="18"/>
  <c r="B78" i="18" s="1"/>
  <c r="B67" i="18"/>
  <c r="B79" i="18" s="1"/>
  <c r="B68" i="18"/>
  <c r="B80" i="18" s="1"/>
  <c r="B69" i="18"/>
  <c r="B81" i="18"/>
  <c r="B71" i="18"/>
  <c r="B83" i="18" s="1"/>
  <c r="B72" i="18"/>
  <c r="B84" i="18" s="1"/>
  <c r="B73" i="18"/>
  <c r="B85" i="18" s="1"/>
  <c r="B74" i="18"/>
  <c r="B86" i="18"/>
  <c r="B75" i="18"/>
  <c r="B87" i="18" s="1"/>
  <c r="C70" i="18"/>
  <c r="C82" i="18"/>
  <c r="C66" i="18"/>
  <c r="C78" i="18" s="1"/>
  <c r="C67" i="18"/>
  <c r="C79" i="18" s="1"/>
  <c r="C68" i="18"/>
  <c r="C80" i="18" s="1"/>
  <c r="C69" i="18"/>
  <c r="C81" i="18"/>
  <c r="C71" i="18"/>
  <c r="C83" i="18" s="1"/>
  <c r="C72" i="18"/>
  <c r="C84" i="18" s="1"/>
  <c r="C73" i="18"/>
  <c r="C85" i="18" s="1"/>
  <c r="C74" i="18"/>
  <c r="C86" i="18"/>
  <c r="C75" i="18"/>
  <c r="C87" i="18" s="1"/>
  <c r="D70" i="18"/>
  <c r="D82" i="18"/>
  <c r="D66" i="18"/>
  <c r="D78" i="18" s="1"/>
  <c r="D67" i="18"/>
  <c r="D79" i="18"/>
  <c r="D68" i="18"/>
  <c r="D80" i="18"/>
  <c r="D69" i="18"/>
  <c r="D81" i="18"/>
  <c r="D71" i="18"/>
  <c r="D83" i="18" s="1"/>
  <c r="D72" i="18"/>
  <c r="D84" i="18"/>
  <c r="D73" i="18"/>
  <c r="D85" i="18"/>
  <c r="D74" i="18"/>
  <c r="D86" i="18"/>
  <c r="D75" i="18"/>
  <c r="D87" i="18" s="1"/>
  <c r="E70" i="18"/>
  <c r="E82" i="18" s="1"/>
  <c r="E66" i="18"/>
  <c r="E78" i="18"/>
  <c r="E67" i="18"/>
  <c r="E79" i="18" s="1"/>
  <c r="E68" i="18"/>
  <c r="E80" i="18" s="1"/>
  <c r="E69" i="18"/>
  <c r="E81" i="18" s="1"/>
  <c r="E71" i="18"/>
  <c r="E83" i="18"/>
  <c r="E72" i="18"/>
  <c r="E84" i="18" s="1"/>
  <c r="E73" i="18"/>
  <c r="E85" i="18" s="1"/>
  <c r="E74" i="18"/>
  <c r="E86" i="18" s="1"/>
  <c r="E75" i="18"/>
  <c r="E87" i="18"/>
  <c r="F70" i="18"/>
  <c r="F82" i="18"/>
  <c r="F66" i="18"/>
  <c r="F78" i="18"/>
  <c r="F67" i="18"/>
  <c r="F79" i="18" s="1"/>
  <c r="F68" i="18"/>
  <c r="F80" i="18"/>
  <c r="F69" i="18"/>
  <c r="F81" i="18"/>
  <c r="F71" i="18"/>
  <c r="F83" i="18"/>
  <c r="F72" i="18"/>
  <c r="F84" i="18" s="1"/>
  <c r="F73" i="18"/>
  <c r="F85" i="18"/>
  <c r="F74" i="18"/>
  <c r="F86" i="18"/>
  <c r="F75" i="18"/>
  <c r="F87" i="18"/>
  <c r="G70" i="18"/>
  <c r="G82" i="18" s="1"/>
  <c r="G66" i="18"/>
  <c r="G78" i="18" s="1"/>
  <c r="G67" i="18"/>
  <c r="G79" i="18"/>
  <c r="G68" i="18"/>
  <c r="G80" i="18" s="1"/>
  <c r="G69" i="18"/>
  <c r="G81" i="18" s="1"/>
  <c r="G71" i="18"/>
  <c r="G72" i="18"/>
  <c r="G84" i="18"/>
  <c r="G73" i="18"/>
  <c r="G85" i="18" s="1"/>
  <c r="G74" i="18"/>
  <c r="G86" i="18" s="1"/>
  <c r="G75" i="18"/>
  <c r="G87" i="18" s="1"/>
  <c r="B76" i="18"/>
  <c r="C76" i="18"/>
  <c r="D76" i="18"/>
  <c r="F76" i="18"/>
  <c r="B16" i="1"/>
  <c r="C16" i="1"/>
  <c r="D16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D30" i="1" s="1"/>
  <c r="B27" i="1"/>
  <c r="C27" i="1"/>
  <c r="D27" i="1"/>
  <c r="B28" i="1"/>
  <c r="C28" i="1"/>
  <c r="D28" i="1"/>
  <c r="B30" i="1"/>
  <c r="C30" i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V35" i="3" s="1"/>
  <c r="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C28" i="3"/>
  <c r="E28" i="3"/>
  <c r="G28" i="3"/>
  <c r="H28" i="3"/>
  <c r="I28" i="3"/>
  <c r="K28" i="3"/>
  <c r="M28" i="3"/>
  <c r="O28" i="3"/>
  <c r="Q28" i="3"/>
  <c r="S28" i="3"/>
  <c r="U28" i="3"/>
  <c r="W28" i="3"/>
  <c r="C29" i="3"/>
  <c r="D29" i="3"/>
  <c r="E29" i="3"/>
  <c r="F29" i="3"/>
  <c r="G29" i="3"/>
  <c r="H29" i="3"/>
  <c r="I29" i="3"/>
  <c r="K29" i="3"/>
  <c r="L29" i="3"/>
  <c r="M29" i="3"/>
  <c r="N29" i="3"/>
  <c r="O29" i="3"/>
  <c r="P29" i="3"/>
  <c r="Q29" i="3"/>
  <c r="S29" i="3"/>
  <c r="T29" i="3"/>
  <c r="U29" i="3"/>
  <c r="V29" i="3"/>
  <c r="W29" i="3"/>
  <c r="C30" i="3"/>
  <c r="E30" i="3"/>
  <c r="G30" i="3"/>
  <c r="I30" i="3"/>
  <c r="K30" i="3"/>
  <c r="M30" i="3"/>
  <c r="O30" i="3"/>
  <c r="Q30" i="3"/>
  <c r="S30" i="3"/>
  <c r="T30" i="3"/>
  <c r="U30" i="3"/>
  <c r="W30" i="3"/>
  <c r="C31" i="3"/>
  <c r="D31" i="3"/>
  <c r="E31" i="3"/>
  <c r="F31" i="3"/>
  <c r="G31" i="3"/>
  <c r="H31" i="3"/>
  <c r="I31" i="3"/>
  <c r="K31" i="3"/>
  <c r="L31" i="3"/>
  <c r="M31" i="3"/>
  <c r="N31" i="3"/>
  <c r="O31" i="3"/>
  <c r="P31" i="3"/>
  <c r="Q31" i="3"/>
  <c r="S31" i="3"/>
  <c r="T31" i="3"/>
  <c r="U31" i="3"/>
  <c r="V31" i="3"/>
  <c r="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3" i="3"/>
  <c r="E33" i="3"/>
  <c r="F33" i="3"/>
  <c r="G33" i="3"/>
  <c r="H33" i="3"/>
  <c r="I33" i="3"/>
  <c r="K33" i="3"/>
  <c r="M33" i="3"/>
  <c r="N33" i="3"/>
  <c r="O33" i="3"/>
  <c r="P33" i="3"/>
  <c r="Q33" i="3"/>
  <c r="S33" i="3"/>
  <c r="U33" i="3"/>
  <c r="V33" i="3"/>
  <c r="W33" i="3"/>
  <c r="C34" i="3"/>
  <c r="D34" i="3"/>
  <c r="E34" i="3"/>
  <c r="G34" i="3"/>
  <c r="I34" i="3"/>
  <c r="K34" i="3"/>
  <c r="L34" i="3"/>
  <c r="M34" i="3"/>
  <c r="O34" i="3"/>
  <c r="Q34" i="3"/>
  <c r="S34" i="3"/>
  <c r="U34" i="3"/>
  <c r="W34" i="3"/>
  <c r="C35" i="3"/>
  <c r="E35" i="3"/>
  <c r="G35" i="3"/>
  <c r="I35" i="3"/>
  <c r="K35" i="3"/>
  <c r="M35" i="3"/>
  <c r="O35" i="3"/>
  <c r="Q35" i="3"/>
  <c r="S35" i="3"/>
  <c r="U35" i="3"/>
  <c r="W35" i="3"/>
  <c r="C36" i="3"/>
  <c r="E36" i="3"/>
  <c r="G36" i="3"/>
  <c r="H36" i="3"/>
  <c r="I36" i="3"/>
  <c r="K36" i="3"/>
  <c r="M36" i="3"/>
  <c r="O36" i="3"/>
  <c r="P36" i="3"/>
  <c r="Q36" i="3"/>
  <c r="S36" i="3"/>
  <c r="U36" i="3"/>
  <c r="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C59" i="3" s="1"/>
  <c r="C42" i="3" s="1"/>
  <c r="C49" i="3" s="1"/>
  <c r="E38" i="3"/>
  <c r="E59" i="3" s="1"/>
  <c r="G38" i="3"/>
  <c r="G59" i="3" s="1"/>
  <c r="G42" i="3" s="1"/>
  <c r="G49" i="3" s="1"/>
  <c r="G50" i="3" s="1"/>
  <c r="I38" i="3"/>
  <c r="K38" i="3"/>
  <c r="K59" i="3" s="1"/>
  <c r="K42" i="3" s="1"/>
  <c r="K49" i="3" s="1"/>
  <c r="M38" i="3"/>
  <c r="M59" i="3" s="1"/>
  <c r="O38" i="3"/>
  <c r="O59" i="3" s="1"/>
  <c r="O42" i="3" s="1"/>
  <c r="O49" i="3" s="1"/>
  <c r="Q38" i="3"/>
  <c r="Q59" i="3" s="1"/>
  <c r="Q42" i="3" s="1"/>
  <c r="Q49" i="3" s="1"/>
  <c r="Q50" i="3" s="1"/>
  <c r="S38" i="3"/>
  <c r="S59" i="3" s="1"/>
  <c r="U38" i="3"/>
  <c r="U59" i="3" s="1"/>
  <c r="W38" i="3"/>
  <c r="W59" i="3" s="1"/>
  <c r="W42" i="3" s="1"/>
  <c r="W49" i="3" s="1"/>
  <c r="C40" i="3"/>
  <c r="E40" i="3"/>
  <c r="E41" i="3" s="1"/>
  <c r="G40" i="3"/>
  <c r="I40" i="3"/>
  <c r="K40" i="3"/>
  <c r="M40" i="3"/>
  <c r="M41" i="3" s="1"/>
  <c r="O40" i="3"/>
  <c r="Q40" i="3"/>
  <c r="U40" i="3"/>
  <c r="U41" i="3" s="1"/>
  <c r="W40" i="3"/>
  <c r="C41" i="3"/>
  <c r="G41" i="3"/>
  <c r="I41" i="3"/>
  <c r="K41" i="3"/>
  <c r="O41" i="3"/>
  <c r="Q41" i="3"/>
  <c r="W41" i="3"/>
  <c r="I59" i="3"/>
  <c r="I42" i="3"/>
  <c r="C43" i="3"/>
  <c r="E43" i="3"/>
  <c r="G43" i="3"/>
  <c r="I43" i="3"/>
  <c r="K43" i="3"/>
  <c r="M43" i="3"/>
  <c r="O43" i="3"/>
  <c r="Q43" i="3"/>
  <c r="S43" i="3"/>
  <c r="U43" i="3"/>
  <c r="W43" i="3"/>
  <c r="C44" i="3"/>
  <c r="E44" i="3"/>
  <c r="G44" i="3"/>
  <c r="I44" i="3"/>
  <c r="K44" i="3"/>
  <c r="M44" i="3"/>
  <c r="O44" i="3"/>
  <c r="Q44" i="3"/>
  <c r="S44" i="3"/>
  <c r="U44" i="3"/>
  <c r="W44" i="3"/>
  <c r="C45" i="3"/>
  <c r="E45" i="3"/>
  <c r="G45" i="3"/>
  <c r="I45" i="3"/>
  <c r="K45" i="3"/>
  <c r="M45" i="3"/>
  <c r="O45" i="3"/>
  <c r="Q45" i="3"/>
  <c r="S45" i="3"/>
  <c r="U45" i="3"/>
  <c r="W45" i="3"/>
  <c r="C46" i="3"/>
  <c r="E46" i="3"/>
  <c r="G46" i="3"/>
  <c r="I46" i="3"/>
  <c r="K46" i="3"/>
  <c r="M46" i="3"/>
  <c r="O46" i="3"/>
  <c r="Q46" i="3"/>
  <c r="S46" i="3"/>
  <c r="U46" i="3"/>
  <c r="W46" i="3"/>
  <c r="C47" i="3"/>
  <c r="E47" i="3"/>
  <c r="G47" i="3"/>
  <c r="I47" i="3"/>
  <c r="K47" i="3"/>
  <c r="M47" i="3"/>
  <c r="O47" i="3"/>
  <c r="Q47" i="3"/>
  <c r="S47" i="3"/>
  <c r="U47" i="3"/>
  <c r="W47" i="3"/>
  <c r="C48" i="3"/>
  <c r="E48" i="3"/>
  <c r="G48" i="3"/>
  <c r="I48" i="3"/>
  <c r="K48" i="3"/>
  <c r="M48" i="3"/>
  <c r="O48" i="3"/>
  <c r="Q48" i="3"/>
  <c r="S48" i="3"/>
  <c r="U48" i="3"/>
  <c r="W48" i="3"/>
  <c r="I49" i="3"/>
  <c r="I50" i="3" s="1"/>
  <c r="I52" i="3" s="1"/>
  <c r="I54" i="3" s="1"/>
  <c r="I56" i="3" s="1"/>
  <c r="C50" i="3"/>
  <c r="C53" i="3" s="1"/>
  <c r="K50" i="3"/>
  <c r="O50" i="3"/>
  <c r="W50" i="3"/>
  <c r="C51" i="3"/>
  <c r="E51" i="3"/>
  <c r="G51" i="3"/>
  <c r="I51" i="3"/>
  <c r="K51" i="3"/>
  <c r="M51" i="3"/>
  <c r="O51" i="3"/>
  <c r="Q51" i="3"/>
  <c r="S51" i="3"/>
  <c r="U51" i="3"/>
  <c r="W51" i="3"/>
  <c r="C52" i="3"/>
  <c r="C54" i="3" s="1"/>
  <c r="C56" i="3" s="1"/>
  <c r="K52" i="3"/>
  <c r="O52" i="3"/>
  <c r="O54" i="3" s="1"/>
  <c r="Q52" i="3"/>
  <c r="W52" i="3"/>
  <c r="W54" i="3" s="1"/>
  <c r="I53" i="3"/>
  <c r="K53" i="3"/>
  <c r="Q53" i="3"/>
  <c r="C57" i="3"/>
  <c r="E57" i="3"/>
  <c r="G57" i="3"/>
  <c r="I57" i="3"/>
  <c r="K57" i="3"/>
  <c r="M57" i="3"/>
  <c r="O57" i="3"/>
  <c r="Q57" i="3"/>
  <c r="Q54" i="3" s="1"/>
  <c r="Q56" i="3" s="1"/>
  <c r="S57" i="3"/>
  <c r="U57" i="3"/>
  <c r="W57" i="3"/>
  <c r="C55" i="3"/>
  <c r="E55" i="3"/>
  <c r="G55" i="3"/>
  <c r="I55" i="3"/>
  <c r="K55" i="3"/>
  <c r="M55" i="3"/>
  <c r="M70" i="3" s="1"/>
  <c r="O55" i="3"/>
  <c r="Q55" i="3"/>
  <c r="S55" i="3"/>
  <c r="U55" i="3"/>
  <c r="W55" i="3"/>
  <c r="O56" i="3"/>
  <c r="W56" i="3"/>
  <c r="C60" i="3"/>
  <c r="C63" i="3" s="1"/>
  <c r="C61" i="3"/>
  <c r="E60" i="3"/>
  <c r="E61" i="3" s="1"/>
  <c r="G60" i="3"/>
  <c r="I60" i="3"/>
  <c r="I61" i="3"/>
  <c r="I62" i="3" s="1"/>
  <c r="I58" i="3"/>
  <c r="K60" i="3"/>
  <c r="K61" i="3"/>
  <c r="M60" i="3"/>
  <c r="M61" i="3" s="1"/>
  <c r="O60" i="3"/>
  <c r="Q60" i="3"/>
  <c r="Q61" i="3"/>
  <c r="Q62" i="3" s="1"/>
  <c r="Q58" i="3"/>
  <c r="S60" i="3"/>
  <c r="S61" i="3"/>
  <c r="U60" i="3"/>
  <c r="U61" i="3" s="1"/>
  <c r="W60" i="3"/>
  <c r="I63" i="3"/>
  <c r="Q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I65" i="3"/>
  <c r="I71" i="3" s="1"/>
  <c r="M65" i="3"/>
  <c r="Q65" i="3"/>
  <c r="C67" i="3"/>
  <c r="E67" i="3"/>
  <c r="G67" i="3"/>
  <c r="I67" i="3"/>
  <c r="K67" i="3"/>
  <c r="M67" i="3"/>
  <c r="O67" i="3"/>
  <c r="Q67" i="3"/>
  <c r="U67" i="3"/>
  <c r="W67" i="3"/>
  <c r="C68" i="3"/>
  <c r="E68" i="3"/>
  <c r="G68" i="3"/>
  <c r="I68" i="3"/>
  <c r="K68" i="3"/>
  <c r="M68" i="3"/>
  <c r="O68" i="3"/>
  <c r="Q68" i="3"/>
  <c r="U68" i="3"/>
  <c r="W68" i="3"/>
  <c r="C69" i="3"/>
  <c r="G69" i="3"/>
  <c r="I69" i="3"/>
  <c r="K69" i="3"/>
  <c r="O69" i="3"/>
  <c r="Q69" i="3"/>
  <c r="U69" i="3"/>
  <c r="W69" i="3"/>
  <c r="C70" i="3"/>
  <c r="G70" i="3"/>
  <c r="I70" i="3"/>
  <c r="K70" i="3"/>
  <c r="O70" i="3"/>
  <c r="Q70" i="3"/>
  <c r="S70" i="3"/>
  <c r="U70" i="3"/>
  <c r="W70" i="3"/>
  <c r="I72" i="3"/>
  <c r="Q72" i="3"/>
  <c r="I73" i="3"/>
  <c r="Q73" i="3"/>
  <c r="C74" i="3"/>
  <c r="E74" i="3"/>
  <c r="I74" i="3"/>
  <c r="K74" i="3"/>
  <c r="M74" i="3"/>
  <c r="O74" i="3"/>
  <c r="Q74" i="3"/>
  <c r="S74" i="3"/>
  <c r="U74" i="3"/>
  <c r="W74" i="3"/>
  <c r="B16" i="4"/>
  <c r="C16" i="4"/>
  <c r="C18" i="4" s="1"/>
  <c r="B17" i="4"/>
  <c r="C17" i="4"/>
  <c r="C21" i="4" s="1"/>
  <c r="C22" i="4" s="1"/>
  <c r="C20" i="4"/>
  <c r="C24" i="4"/>
  <c r="B26" i="4"/>
  <c r="C26" i="4"/>
  <c r="C28" i="4"/>
  <c r="C34" i="4" s="1"/>
  <c r="B30" i="4"/>
  <c r="C30" i="4"/>
  <c r="C32" i="4"/>
  <c r="B16" i="6"/>
  <c r="C16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B31" i="6" s="1"/>
  <c r="C24" i="6"/>
  <c r="C31" i="6" s="1"/>
  <c r="B25" i="6"/>
  <c r="C25" i="6"/>
  <c r="B26" i="6"/>
  <c r="C26" i="6"/>
  <c r="B27" i="6"/>
  <c r="C27" i="6"/>
  <c r="B28" i="6"/>
  <c r="C28" i="6"/>
  <c r="B30" i="6"/>
  <c r="C30" i="6"/>
  <c r="B32" i="6"/>
  <c r="C32" i="6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126" i="5"/>
  <c r="B104" i="5"/>
  <c r="B105" i="5"/>
  <c r="B106" i="5"/>
  <c r="B107" i="5"/>
  <c r="B109" i="5"/>
  <c r="B36" i="5"/>
  <c r="B110" i="5"/>
  <c r="B37" i="5"/>
  <c r="B111" i="5"/>
  <c r="B38" i="5"/>
  <c r="B39" i="5"/>
  <c r="B113" i="5" s="1"/>
  <c r="B40" i="5"/>
  <c r="B114" i="5"/>
  <c r="B41" i="5"/>
  <c r="B115" i="5"/>
  <c r="B42" i="5"/>
  <c r="B116" i="5" s="1"/>
  <c r="B43" i="5"/>
  <c r="B117" i="5" s="1"/>
  <c r="B44" i="5"/>
  <c r="B118" i="5"/>
  <c r="B45" i="5"/>
  <c r="B119" i="5"/>
  <c r="B46" i="5"/>
  <c r="B142" i="5" s="1"/>
  <c r="B127" i="5"/>
  <c r="B128" i="5"/>
  <c r="B129" i="5"/>
  <c r="B131" i="5"/>
  <c r="B132" i="5"/>
  <c r="B133" i="5"/>
  <c r="B135" i="5"/>
  <c r="B136" i="5"/>
  <c r="B137" i="5"/>
  <c r="B138" i="5"/>
  <c r="B139" i="5"/>
  <c r="B140" i="5"/>
  <c r="B141" i="5"/>
  <c r="C126" i="5"/>
  <c r="C104" i="5"/>
  <c r="C105" i="5"/>
  <c r="C106" i="5"/>
  <c r="C107" i="5"/>
  <c r="C109" i="5"/>
  <c r="C36" i="5"/>
  <c r="C37" i="5"/>
  <c r="C111" i="5"/>
  <c r="C38" i="5"/>
  <c r="C39" i="5"/>
  <c r="C113" i="5" s="1"/>
  <c r="C40" i="5"/>
  <c r="C41" i="5"/>
  <c r="C115" i="5"/>
  <c r="C42" i="5"/>
  <c r="C43" i="5"/>
  <c r="C117" i="5" s="1"/>
  <c r="C44" i="5"/>
  <c r="C45" i="5"/>
  <c r="C119" i="5"/>
  <c r="C46" i="5"/>
  <c r="C127" i="5"/>
  <c r="C128" i="5"/>
  <c r="C129" i="5"/>
  <c r="C131" i="5"/>
  <c r="C133" i="5"/>
  <c r="C135" i="5"/>
  <c r="C137" i="5"/>
  <c r="C139" i="5"/>
  <c r="C141" i="5"/>
  <c r="D105" i="5"/>
  <c r="D107" i="5"/>
  <c r="D109" i="5"/>
  <c r="D36" i="5"/>
  <c r="D110" i="5" s="1"/>
  <c r="D37" i="5"/>
  <c r="D111" i="5"/>
  <c r="D38" i="5"/>
  <c r="D112" i="5" s="1"/>
  <c r="D39" i="5"/>
  <c r="D113" i="5"/>
  <c r="D40" i="5"/>
  <c r="D114" i="5" s="1"/>
  <c r="D41" i="5"/>
  <c r="D137" i="5" s="1"/>
  <c r="D115" i="5"/>
  <c r="D42" i="5"/>
  <c r="D116" i="5" s="1"/>
  <c r="D43" i="5"/>
  <c r="D117" i="5"/>
  <c r="D44" i="5"/>
  <c r="D118" i="5" s="1"/>
  <c r="D45" i="5"/>
  <c r="D119" i="5" s="1"/>
  <c r="D46" i="5"/>
  <c r="D120" i="5" s="1"/>
  <c r="D127" i="5"/>
  <c r="D129" i="5"/>
  <c r="D131" i="5"/>
  <c r="D132" i="5"/>
  <c r="D133" i="5"/>
  <c r="D134" i="5"/>
  <c r="D135" i="5"/>
  <c r="D136" i="5"/>
  <c r="D138" i="5"/>
  <c r="D139" i="5"/>
  <c r="D140" i="5"/>
  <c r="D141" i="5"/>
  <c r="D142" i="5"/>
  <c r="E126" i="5"/>
  <c r="E104" i="5"/>
  <c r="E105" i="5"/>
  <c r="E106" i="5"/>
  <c r="E107" i="5"/>
  <c r="E109" i="5"/>
  <c r="E36" i="5"/>
  <c r="E110" i="5" s="1"/>
  <c r="E37" i="5"/>
  <c r="E111" i="5"/>
  <c r="E38" i="5"/>
  <c r="E39" i="5"/>
  <c r="E113" i="5"/>
  <c r="E40" i="5"/>
  <c r="E114" i="5" s="1"/>
  <c r="E41" i="5"/>
  <c r="E115" i="5"/>
  <c r="E42" i="5"/>
  <c r="E43" i="5"/>
  <c r="E117" i="5"/>
  <c r="E44" i="5"/>
  <c r="E118" i="5" s="1"/>
  <c r="E45" i="5"/>
  <c r="E119" i="5"/>
  <c r="E46" i="5"/>
  <c r="E127" i="5"/>
  <c r="E128" i="5"/>
  <c r="E129" i="5"/>
  <c r="E131" i="5"/>
  <c r="E133" i="5"/>
  <c r="E135" i="5"/>
  <c r="E137" i="5"/>
  <c r="E139" i="5"/>
  <c r="E141" i="5"/>
  <c r="F126" i="5"/>
  <c r="F104" i="5"/>
  <c r="F105" i="5"/>
  <c r="F106" i="5"/>
  <c r="F107" i="5"/>
  <c r="F109" i="5"/>
  <c r="F36" i="5"/>
  <c r="F110" i="5" s="1"/>
  <c r="F37" i="5"/>
  <c r="F111" i="5"/>
  <c r="F38" i="5"/>
  <c r="F112" i="5"/>
  <c r="F39" i="5"/>
  <c r="F113" i="5" s="1"/>
  <c r="F40" i="5"/>
  <c r="F114" i="5" s="1"/>
  <c r="F41" i="5"/>
  <c r="F115" i="5"/>
  <c r="F42" i="5"/>
  <c r="F116" i="5"/>
  <c r="F43" i="5"/>
  <c r="F117" i="5" s="1"/>
  <c r="F44" i="5"/>
  <c r="F118" i="5" s="1"/>
  <c r="F45" i="5"/>
  <c r="F119" i="5"/>
  <c r="F46" i="5"/>
  <c r="F120" i="5"/>
  <c r="F127" i="5"/>
  <c r="F128" i="5"/>
  <c r="F129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G126" i="5"/>
  <c r="G104" i="5"/>
  <c r="G105" i="5"/>
  <c r="G106" i="5"/>
  <c r="G107" i="5"/>
  <c r="G109" i="5"/>
  <c r="G36" i="5"/>
  <c r="G110" i="5"/>
  <c r="G37" i="5"/>
  <c r="G38" i="5"/>
  <c r="G112" i="5"/>
  <c r="G39" i="5"/>
  <c r="G113" i="5" s="1"/>
  <c r="G40" i="5"/>
  <c r="G114" i="5"/>
  <c r="G41" i="5"/>
  <c r="G42" i="5"/>
  <c r="G116" i="5"/>
  <c r="G43" i="5"/>
  <c r="G117" i="5" s="1"/>
  <c r="G44" i="5"/>
  <c r="G118" i="5"/>
  <c r="G45" i="5"/>
  <c r="G46" i="5"/>
  <c r="G120" i="5"/>
  <c r="G127" i="5"/>
  <c r="G128" i="5"/>
  <c r="G129" i="5"/>
  <c r="G131" i="5"/>
  <c r="G132" i="5"/>
  <c r="G134" i="5"/>
  <c r="G136" i="5"/>
  <c r="G138" i="5"/>
  <c r="G140" i="5"/>
  <c r="G142" i="5"/>
  <c r="H126" i="5"/>
  <c r="H104" i="5"/>
  <c r="H106" i="5"/>
  <c r="H109" i="5"/>
  <c r="H36" i="5"/>
  <c r="H110" i="5"/>
  <c r="H37" i="5"/>
  <c r="H111" i="5" s="1"/>
  <c r="H38" i="5"/>
  <c r="H112" i="5" s="1"/>
  <c r="H39" i="5"/>
  <c r="H113" i="5" s="1"/>
  <c r="H40" i="5"/>
  <c r="H114" i="5"/>
  <c r="H41" i="5"/>
  <c r="H115" i="5" s="1"/>
  <c r="H42" i="5"/>
  <c r="H116" i="5" s="1"/>
  <c r="H43" i="5"/>
  <c r="H117" i="5" s="1"/>
  <c r="H44" i="5"/>
  <c r="H118" i="5"/>
  <c r="H45" i="5"/>
  <c r="H141" i="5" s="1"/>
  <c r="H46" i="5"/>
  <c r="H120" i="5" s="1"/>
  <c r="H128" i="5"/>
  <c r="H131" i="5"/>
  <c r="H132" i="5"/>
  <c r="H133" i="5"/>
  <c r="H134" i="5"/>
  <c r="H135" i="5"/>
  <c r="H136" i="5"/>
  <c r="H137" i="5"/>
  <c r="H138" i="5"/>
  <c r="H139" i="5"/>
  <c r="H140" i="5"/>
  <c r="H142" i="5"/>
  <c r="I126" i="5"/>
  <c r="I104" i="5"/>
  <c r="I105" i="5"/>
  <c r="I106" i="5"/>
  <c r="I107" i="5"/>
  <c r="I109" i="5"/>
  <c r="I36" i="5"/>
  <c r="I37" i="5"/>
  <c r="I111" i="5"/>
  <c r="I38" i="5"/>
  <c r="I112" i="5" s="1"/>
  <c r="I39" i="5"/>
  <c r="I113" i="5"/>
  <c r="I40" i="5"/>
  <c r="I41" i="5"/>
  <c r="I115" i="5"/>
  <c r="I42" i="5"/>
  <c r="I116" i="5" s="1"/>
  <c r="I43" i="5"/>
  <c r="I117" i="5"/>
  <c r="I44" i="5"/>
  <c r="I45" i="5"/>
  <c r="I119" i="5"/>
  <c r="I46" i="5"/>
  <c r="I120" i="5" s="1"/>
  <c r="I127" i="5"/>
  <c r="I128" i="5"/>
  <c r="I129" i="5"/>
  <c r="I131" i="5"/>
  <c r="I133" i="5"/>
  <c r="I135" i="5"/>
  <c r="I137" i="5"/>
  <c r="I139" i="5"/>
  <c r="I141" i="5"/>
  <c r="I142" i="5"/>
  <c r="J126" i="5"/>
  <c r="J104" i="5"/>
  <c r="J105" i="5"/>
  <c r="J106" i="5"/>
  <c r="J107" i="5"/>
  <c r="J109" i="5"/>
  <c r="J36" i="5"/>
  <c r="J110" i="5" s="1"/>
  <c r="J37" i="5"/>
  <c r="J111" i="5" s="1"/>
  <c r="J38" i="5"/>
  <c r="J112" i="5" s="1"/>
  <c r="J39" i="5"/>
  <c r="J113" i="5"/>
  <c r="J40" i="5"/>
  <c r="J114" i="5" s="1"/>
  <c r="J41" i="5"/>
  <c r="J115" i="5" s="1"/>
  <c r="J42" i="5"/>
  <c r="J116" i="5" s="1"/>
  <c r="J43" i="5"/>
  <c r="J117" i="5"/>
  <c r="J44" i="5"/>
  <c r="J118" i="5" s="1"/>
  <c r="J45" i="5"/>
  <c r="J119" i="5" s="1"/>
  <c r="J46" i="5"/>
  <c r="J120" i="5" s="1"/>
  <c r="J127" i="5"/>
  <c r="J128" i="5"/>
  <c r="J129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K126" i="5"/>
  <c r="K104" i="5"/>
  <c r="K105" i="5"/>
  <c r="K106" i="5"/>
  <c r="K107" i="5"/>
  <c r="K109" i="5"/>
  <c r="K36" i="5"/>
  <c r="K110" i="5"/>
  <c r="K37" i="5"/>
  <c r="K38" i="5"/>
  <c r="K112" i="5"/>
  <c r="K39" i="5"/>
  <c r="K113" i="5"/>
  <c r="K40" i="5"/>
  <c r="K114" i="5"/>
  <c r="K41" i="5"/>
  <c r="K42" i="5"/>
  <c r="K116" i="5"/>
  <c r="K43" i="5"/>
  <c r="K139" i="5" s="1"/>
  <c r="K117" i="5"/>
  <c r="K44" i="5"/>
  <c r="K118" i="5"/>
  <c r="K45" i="5"/>
  <c r="K119" i="5" s="1"/>
  <c r="K46" i="5"/>
  <c r="K120" i="5"/>
  <c r="K127" i="5"/>
  <c r="K128" i="5"/>
  <c r="K129" i="5"/>
  <c r="K131" i="5"/>
  <c r="K132" i="5"/>
  <c r="K134" i="5"/>
  <c r="K135" i="5"/>
  <c r="K136" i="5"/>
  <c r="K138" i="5"/>
  <c r="K140" i="5"/>
  <c r="K141" i="5"/>
  <c r="K142" i="5"/>
  <c r="L126" i="5"/>
  <c r="L104" i="5"/>
  <c r="L105" i="5"/>
  <c r="L106" i="5"/>
  <c r="L107" i="5"/>
  <c r="L109" i="5"/>
  <c r="L36" i="5"/>
  <c r="L110" i="5"/>
  <c r="L37" i="5"/>
  <c r="L38" i="5"/>
  <c r="L112" i="5"/>
  <c r="L39" i="5"/>
  <c r="L113" i="5" s="1"/>
  <c r="L40" i="5"/>
  <c r="L114" i="5"/>
  <c r="L41" i="5"/>
  <c r="L42" i="5"/>
  <c r="L116" i="5"/>
  <c r="L43" i="5"/>
  <c r="L117" i="5" s="1"/>
  <c r="L44" i="5"/>
  <c r="L118" i="5"/>
  <c r="L45" i="5"/>
  <c r="L46" i="5"/>
  <c r="L120" i="5"/>
  <c r="L127" i="5"/>
  <c r="L128" i="5"/>
  <c r="L129" i="5"/>
  <c r="L131" i="5"/>
  <c r="L132" i="5"/>
  <c r="L134" i="5"/>
  <c r="L136" i="5"/>
  <c r="L138" i="5"/>
  <c r="L140" i="5"/>
  <c r="L142" i="5"/>
  <c r="M126" i="5"/>
  <c r="M104" i="5"/>
  <c r="M105" i="5"/>
  <c r="M106" i="5"/>
  <c r="M107" i="5"/>
  <c r="M109" i="5"/>
  <c r="M36" i="5"/>
  <c r="M110" i="5"/>
  <c r="M37" i="5"/>
  <c r="M111" i="5"/>
  <c r="M38" i="5"/>
  <c r="M112" i="5" s="1"/>
  <c r="M39" i="5"/>
  <c r="M113" i="5"/>
  <c r="M40" i="5"/>
  <c r="M114" i="5"/>
  <c r="M41" i="5"/>
  <c r="M115" i="5"/>
  <c r="M42" i="5"/>
  <c r="M116" i="5" s="1"/>
  <c r="M43" i="5"/>
  <c r="M117" i="5"/>
  <c r="M44" i="5"/>
  <c r="M118" i="5"/>
  <c r="M45" i="5"/>
  <c r="M119" i="5"/>
  <c r="M46" i="5"/>
  <c r="M142" i="5" s="1"/>
  <c r="M127" i="5"/>
  <c r="M128" i="5"/>
  <c r="M129" i="5"/>
  <c r="M131" i="5"/>
  <c r="M132" i="5"/>
  <c r="M133" i="5"/>
  <c r="M134" i="5"/>
  <c r="M135" i="5"/>
  <c r="M136" i="5"/>
  <c r="M137" i="5"/>
  <c r="M138" i="5"/>
  <c r="M139" i="5"/>
  <c r="M140" i="5"/>
  <c r="M141" i="5"/>
  <c r="B50" i="5"/>
  <c r="C50" i="5"/>
  <c r="D50" i="5"/>
  <c r="E50" i="5"/>
  <c r="F50" i="5"/>
  <c r="H50" i="5"/>
  <c r="I50" i="5"/>
  <c r="J50" i="5"/>
  <c r="K50" i="5"/>
  <c r="L50" i="5"/>
  <c r="F143" i="5"/>
  <c r="B16" i="7"/>
  <c r="C16" i="7"/>
  <c r="D16" i="7"/>
  <c r="E16" i="7"/>
  <c r="F16" i="7"/>
  <c r="B17" i="7"/>
  <c r="C17" i="7"/>
  <c r="C22" i="7" s="1"/>
  <c r="D17" i="7"/>
  <c r="E17" i="7"/>
  <c r="F17" i="7"/>
  <c r="F18" i="7" s="1"/>
  <c r="C18" i="7"/>
  <c r="C26" i="7" s="1"/>
  <c r="E18" i="7"/>
  <c r="C20" i="7"/>
  <c r="C21" i="7"/>
  <c r="C23" i="7"/>
  <c r="C27" i="7"/>
  <c r="C28" i="7"/>
  <c r="C29" i="7"/>
  <c r="C31" i="7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7" i="8"/>
  <c r="C17" i="8"/>
  <c r="D17" i="8"/>
  <c r="E17" i="8"/>
  <c r="E18" i="8" s="1"/>
  <c r="F17" i="8"/>
  <c r="G17" i="8"/>
  <c r="H17" i="8"/>
  <c r="H18" i="8" s="1"/>
  <c r="I17" i="8"/>
  <c r="J17" i="8"/>
  <c r="K17" i="8"/>
  <c r="L17" i="8"/>
  <c r="M17" i="8"/>
  <c r="M18" i="8" s="1"/>
  <c r="N17" i="8"/>
  <c r="O17" i="8"/>
  <c r="P17" i="8"/>
  <c r="P18" i="8" s="1"/>
  <c r="Q17" i="8"/>
  <c r="R17" i="8"/>
  <c r="S17" i="8"/>
  <c r="T17" i="8"/>
  <c r="U17" i="8"/>
  <c r="U18" i="8" s="1"/>
  <c r="U28" i="8" s="1"/>
  <c r="B18" i="8"/>
  <c r="C18" i="8"/>
  <c r="D18" i="8"/>
  <c r="D20" i="8" s="1"/>
  <c r="D21" i="8" s="1"/>
  <c r="D22" i="8" s="1"/>
  <c r="D25" i="8" s="1"/>
  <c r="F18" i="8"/>
  <c r="G18" i="8"/>
  <c r="G23" i="8" s="1"/>
  <c r="I18" i="8"/>
  <c r="I20" i="8" s="1"/>
  <c r="I21" i="8" s="1"/>
  <c r="I22" i="8" s="1"/>
  <c r="I38" i="8" s="1"/>
  <c r="J18" i="8"/>
  <c r="K18" i="8"/>
  <c r="L18" i="8"/>
  <c r="L20" i="8" s="1"/>
  <c r="N18" i="8"/>
  <c r="O18" i="8"/>
  <c r="O20" i="8" s="1"/>
  <c r="O21" i="8" s="1"/>
  <c r="O22" i="8" s="1"/>
  <c r="O38" i="8" s="1"/>
  <c r="Q18" i="8"/>
  <c r="Q20" i="8" s="1"/>
  <c r="R18" i="8"/>
  <c r="S18" i="8"/>
  <c r="S22" i="8" s="1"/>
  <c r="T18" i="8"/>
  <c r="B20" i="8"/>
  <c r="C20" i="8"/>
  <c r="F20" i="8"/>
  <c r="F21" i="8" s="1"/>
  <c r="F22" i="8" s="1"/>
  <c r="H20" i="8"/>
  <c r="H21" i="8" s="1"/>
  <c r="J20" i="8"/>
  <c r="K20" i="8"/>
  <c r="K21" i="8" s="1"/>
  <c r="M20" i="8"/>
  <c r="N20" i="8"/>
  <c r="P20" i="8"/>
  <c r="S20" i="8"/>
  <c r="U20" i="8"/>
  <c r="U21" i="8" s="1"/>
  <c r="B21" i="8"/>
  <c r="B22" i="8" s="1"/>
  <c r="C21" i="8"/>
  <c r="C22" i="8" s="1"/>
  <c r="J21" i="8"/>
  <c r="J22" i="8" s="1"/>
  <c r="L21" i="8"/>
  <c r="L22" i="8" s="1"/>
  <c r="L25" i="8" s="1"/>
  <c r="M21" i="8"/>
  <c r="N21" i="8"/>
  <c r="P21" i="8"/>
  <c r="Q21" i="8"/>
  <c r="S21" i="8"/>
  <c r="H22" i="8"/>
  <c r="N22" i="8"/>
  <c r="N25" i="8" s="1"/>
  <c r="P22" i="8"/>
  <c r="Q22" i="8"/>
  <c r="Q25" i="8" s="1"/>
  <c r="B23" i="8"/>
  <c r="C23" i="8"/>
  <c r="D23" i="8"/>
  <c r="E23" i="8"/>
  <c r="F23" i="8"/>
  <c r="H23" i="8"/>
  <c r="J23" i="8"/>
  <c r="K23" i="8"/>
  <c r="L23" i="8"/>
  <c r="M23" i="8"/>
  <c r="N23" i="8"/>
  <c r="P23" i="8"/>
  <c r="Q23" i="8"/>
  <c r="R23" i="8"/>
  <c r="S23" i="8"/>
  <c r="U23" i="8"/>
  <c r="B24" i="8"/>
  <c r="C24" i="8"/>
  <c r="D24" i="8"/>
  <c r="E24" i="8"/>
  <c r="F24" i="8"/>
  <c r="G24" i="8"/>
  <c r="H24" i="8"/>
  <c r="I24" i="8"/>
  <c r="J24" i="8"/>
  <c r="L24" i="8"/>
  <c r="N24" i="8"/>
  <c r="O24" i="8"/>
  <c r="P24" i="8"/>
  <c r="Q24" i="8"/>
  <c r="B27" i="8"/>
  <c r="C27" i="8"/>
  <c r="D27" i="8"/>
  <c r="E27" i="8"/>
  <c r="F27" i="8"/>
  <c r="H27" i="8"/>
  <c r="J27" i="8"/>
  <c r="K27" i="8"/>
  <c r="L27" i="8"/>
  <c r="M27" i="8"/>
  <c r="N27" i="8"/>
  <c r="P27" i="8"/>
  <c r="Q27" i="8"/>
  <c r="R27" i="8"/>
  <c r="S27" i="8"/>
  <c r="U27" i="8"/>
  <c r="B28" i="8"/>
  <c r="C28" i="8"/>
  <c r="D28" i="8"/>
  <c r="E28" i="8"/>
  <c r="F28" i="8"/>
  <c r="G28" i="8"/>
  <c r="H28" i="8"/>
  <c r="I28" i="8"/>
  <c r="J28" i="8"/>
  <c r="L28" i="8"/>
  <c r="M28" i="8"/>
  <c r="N28" i="8"/>
  <c r="O28" i="8"/>
  <c r="P28" i="8"/>
  <c r="Q28" i="8"/>
  <c r="B29" i="8"/>
  <c r="C29" i="8"/>
  <c r="D29" i="8"/>
  <c r="E29" i="8"/>
  <c r="F29" i="8"/>
  <c r="H29" i="8"/>
  <c r="J29" i="8"/>
  <c r="K29" i="8"/>
  <c r="L29" i="8"/>
  <c r="M29" i="8"/>
  <c r="N29" i="8"/>
  <c r="O29" i="8"/>
  <c r="P29" i="8"/>
  <c r="Q29" i="8"/>
  <c r="R29" i="8"/>
  <c r="S29" i="8"/>
  <c r="U29" i="8"/>
  <c r="B30" i="8"/>
  <c r="C30" i="8"/>
  <c r="D30" i="8"/>
  <c r="E30" i="8"/>
  <c r="F30" i="8"/>
  <c r="G30" i="8"/>
  <c r="H30" i="8"/>
  <c r="I30" i="8"/>
  <c r="J30" i="8"/>
  <c r="L30" i="8"/>
  <c r="M30" i="8"/>
  <c r="N30" i="8"/>
  <c r="O30" i="8"/>
  <c r="P30" i="8"/>
  <c r="Q30" i="8"/>
  <c r="B31" i="8"/>
  <c r="C31" i="8"/>
  <c r="D31" i="8"/>
  <c r="E31" i="8"/>
  <c r="F31" i="8"/>
  <c r="H31" i="8"/>
  <c r="J31" i="8"/>
  <c r="K31" i="8"/>
  <c r="L31" i="8"/>
  <c r="M31" i="8"/>
  <c r="N31" i="8"/>
  <c r="O31" i="8"/>
  <c r="P31" i="8"/>
  <c r="Q31" i="8"/>
  <c r="R31" i="8"/>
  <c r="S31" i="8"/>
  <c r="U31" i="8"/>
  <c r="B32" i="8"/>
  <c r="C32" i="8"/>
  <c r="D32" i="8"/>
  <c r="E32" i="8"/>
  <c r="F32" i="8"/>
  <c r="G32" i="8"/>
  <c r="H32" i="8"/>
  <c r="I32" i="8"/>
  <c r="J32" i="8"/>
  <c r="L32" i="8"/>
  <c r="M32" i="8"/>
  <c r="N32" i="8"/>
  <c r="O32" i="8"/>
  <c r="P32" i="8"/>
  <c r="Q32" i="8"/>
  <c r="U32" i="8"/>
  <c r="Q38" i="8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17" i="10"/>
  <c r="C17" i="10"/>
  <c r="D17" i="10"/>
  <c r="E17" i="10"/>
  <c r="F17" i="10"/>
  <c r="G17" i="10"/>
  <c r="H17" i="10"/>
  <c r="H18" i="10" s="1"/>
  <c r="I17" i="10"/>
  <c r="J17" i="10"/>
  <c r="K17" i="10"/>
  <c r="L17" i="10"/>
  <c r="M17" i="10"/>
  <c r="N17" i="10"/>
  <c r="O17" i="10"/>
  <c r="P17" i="10"/>
  <c r="P18" i="10" s="1"/>
  <c r="Q17" i="10"/>
  <c r="R17" i="10"/>
  <c r="S17" i="10"/>
  <c r="T17" i="10"/>
  <c r="U17" i="10"/>
  <c r="V17" i="10"/>
  <c r="W17" i="10"/>
  <c r="X17" i="10"/>
  <c r="X18" i="10" s="1"/>
  <c r="Y17" i="10"/>
  <c r="Z17" i="10"/>
  <c r="AA17" i="10"/>
  <c r="AB17" i="10"/>
  <c r="AC17" i="10"/>
  <c r="AD17" i="10"/>
  <c r="AE17" i="10"/>
  <c r="AF17" i="10"/>
  <c r="AF18" i="10" s="1"/>
  <c r="AG17" i="10"/>
  <c r="AH17" i="10"/>
  <c r="AI17" i="10"/>
  <c r="AJ17" i="10"/>
  <c r="AK17" i="10"/>
  <c r="AL17" i="10"/>
  <c r="AM17" i="10"/>
  <c r="AN17" i="10"/>
  <c r="AN18" i="10" s="1"/>
  <c r="AO17" i="10"/>
  <c r="AP17" i="10"/>
  <c r="AQ17" i="10"/>
  <c r="AR17" i="10"/>
  <c r="AS17" i="10"/>
  <c r="AT17" i="10"/>
  <c r="AU17" i="10"/>
  <c r="AV17" i="10"/>
  <c r="AV18" i="10" s="1"/>
  <c r="AW17" i="10"/>
  <c r="AX17" i="10"/>
  <c r="AY17" i="10"/>
  <c r="AZ17" i="10"/>
  <c r="BA17" i="10"/>
  <c r="BB17" i="10"/>
  <c r="BC17" i="10"/>
  <c r="BD17" i="10"/>
  <c r="BD18" i="10" s="1"/>
  <c r="BE17" i="10"/>
  <c r="BF17" i="10"/>
  <c r="BG17" i="10"/>
  <c r="BH17" i="10"/>
  <c r="BI17" i="10"/>
  <c r="BJ17" i="10"/>
  <c r="BK17" i="10"/>
  <c r="BL17" i="10"/>
  <c r="BL18" i="10" s="1"/>
  <c r="BM17" i="10"/>
  <c r="BN17" i="10"/>
  <c r="B18" i="10"/>
  <c r="C18" i="10"/>
  <c r="D18" i="10"/>
  <c r="E18" i="10"/>
  <c r="F18" i="10"/>
  <c r="I18" i="10"/>
  <c r="J18" i="10"/>
  <c r="K18" i="10"/>
  <c r="L18" i="10"/>
  <c r="M18" i="10"/>
  <c r="N18" i="10"/>
  <c r="Q18" i="10"/>
  <c r="R18" i="10"/>
  <c r="S18" i="10"/>
  <c r="T18" i="10"/>
  <c r="U18" i="10"/>
  <c r="U22" i="10" s="1"/>
  <c r="U25" i="10" s="1"/>
  <c r="V18" i="10"/>
  <c r="Y18" i="10"/>
  <c r="Z18" i="10"/>
  <c r="AA18" i="10"/>
  <c r="AB18" i="10"/>
  <c r="AB22" i="10" s="1"/>
  <c r="AC18" i="10"/>
  <c r="AC22" i="10" s="1"/>
  <c r="AC25" i="10" s="1"/>
  <c r="AD18" i="10"/>
  <c r="AG18" i="10"/>
  <c r="AH18" i="10"/>
  <c r="AI18" i="10"/>
  <c r="AJ18" i="10"/>
  <c r="AK18" i="10"/>
  <c r="AL18" i="10"/>
  <c r="AO18" i="10"/>
  <c r="AP18" i="10"/>
  <c r="AQ18" i="10"/>
  <c r="AR18" i="10"/>
  <c r="AS18" i="10"/>
  <c r="AS23" i="10" s="1"/>
  <c r="AT18" i="10"/>
  <c r="AW18" i="10"/>
  <c r="AX18" i="10"/>
  <c r="AX20" i="10" s="1"/>
  <c r="AX21" i="10" s="1"/>
  <c r="AX22" i="10" s="1"/>
  <c r="AX25" i="10" s="1"/>
  <c r="AY18" i="10"/>
  <c r="AZ18" i="10"/>
  <c r="AZ22" i="10" s="1"/>
  <c r="BA18" i="10"/>
  <c r="BA23" i="10" s="1"/>
  <c r="BB18" i="10"/>
  <c r="BE18" i="10"/>
  <c r="BF18" i="10"/>
  <c r="BF20" i="10" s="1"/>
  <c r="BG18" i="10"/>
  <c r="BH18" i="10"/>
  <c r="BI18" i="10"/>
  <c r="BI23" i="10" s="1"/>
  <c r="BJ18" i="10"/>
  <c r="BM18" i="10"/>
  <c r="BN18" i="10"/>
  <c r="BN20" i="10" s="1"/>
  <c r="B20" i="10"/>
  <c r="C20" i="10"/>
  <c r="D20" i="10"/>
  <c r="E20" i="10"/>
  <c r="E21" i="10" s="1"/>
  <c r="I20" i="10"/>
  <c r="I21" i="10" s="1"/>
  <c r="I22" i="10" s="1"/>
  <c r="I25" i="10" s="1"/>
  <c r="J20" i="10"/>
  <c r="K20" i="10"/>
  <c r="L20" i="10"/>
  <c r="M20" i="10"/>
  <c r="M21" i="10" s="1"/>
  <c r="Q20" i="10"/>
  <c r="Q21" i="10" s="1"/>
  <c r="R20" i="10"/>
  <c r="S20" i="10"/>
  <c r="T20" i="10"/>
  <c r="U20" i="10"/>
  <c r="U21" i="10" s="1"/>
  <c r="Y20" i="10"/>
  <c r="Y21" i="10" s="1"/>
  <c r="Y22" i="10" s="1"/>
  <c r="Z20" i="10"/>
  <c r="AA20" i="10"/>
  <c r="AB20" i="10"/>
  <c r="AC20" i="10"/>
  <c r="AC21" i="10" s="1"/>
  <c r="AG20" i="10"/>
  <c r="AG21" i="10" s="1"/>
  <c r="AG22" i="10" s="1"/>
  <c r="AG25" i="10" s="1"/>
  <c r="AH20" i="10"/>
  <c r="AI20" i="10"/>
  <c r="AJ20" i="10"/>
  <c r="AK20" i="10"/>
  <c r="AK21" i="10" s="1"/>
  <c r="AO20" i="10"/>
  <c r="AO21" i="10" s="1"/>
  <c r="AP20" i="10"/>
  <c r="AQ20" i="10"/>
  <c r="AR20" i="10"/>
  <c r="AS20" i="10"/>
  <c r="AS21" i="10" s="1"/>
  <c r="AW20" i="10"/>
  <c r="AW21" i="10" s="1"/>
  <c r="AW22" i="10" s="1"/>
  <c r="AW25" i="10" s="1"/>
  <c r="AY20" i="10"/>
  <c r="AY21" i="10" s="1"/>
  <c r="AY22" i="10" s="1"/>
  <c r="AY25" i="10" s="1"/>
  <c r="AZ20" i="10"/>
  <c r="BA20" i="10"/>
  <c r="BA21" i="10" s="1"/>
  <c r="BE20" i="10"/>
  <c r="BE21" i="10" s="1"/>
  <c r="BG20" i="10"/>
  <c r="BH20" i="10"/>
  <c r="BH21" i="10" s="1"/>
  <c r="BI20" i="10"/>
  <c r="BI21" i="10" s="1"/>
  <c r="BM20" i="10"/>
  <c r="BM21" i="10" s="1"/>
  <c r="B21" i="10"/>
  <c r="B22" i="10" s="1"/>
  <c r="B25" i="10" s="1"/>
  <c r="C21" i="10"/>
  <c r="D21" i="10"/>
  <c r="J21" i="10"/>
  <c r="K21" i="10"/>
  <c r="L21" i="10"/>
  <c r="R21" i="10"/>
  <c r="R22" i="10" s="1"/>
  <c r="R25" i="10" s="1"/>
  <c r="S21" i="10"/>
  <c r="T21" i="10"/>
  <c r="Z21" i="10"/>
  <c r="AA21" i="10"/>
  <c r="AA22" i="10" s="1"/>
  <c r="AA25" i="10" s="1"/>
  <c r="AB21" i="10"/>
  <c r="AH21" i="10"/>
  <c r="AI21" i="10"/>
  <c r="AJ21" i="10"/>
  <c r="AP21" i="10"/>
  <c r="AQ21" i="10"/>
  <c r="AQ22" i="10" s="1"/>
  <c r="AQ25" i="10" s="1"/>
  <c r="AR21" i="10"/>
  <c r="AZ21" i="10"/>
  <c r="BF21" i="10"/>
  <c r="BG21" i="10"/>
  <c r="BN21" i="10"/>
  <c r="BN22" i="10" s="1"/>
  <c r="BN25" i="10" s="1"/>
  <c r="C22" i="10"/>
  <c r="C25" i="10" s="1"/>
  <c r="J22" i="10"/>
  <c r="K22" i="10"/>
  <c r="K25" i="10" s="1"/>
  <c r="Q22" i="10"/>
  <c r="S22" i="10"/>
  <c r="S25" i="10" s="1"/>
  <c r="Z22" i="10"/>
  <c r="Z25" i="10" s="1"/>
  <c r="AH22" i="10"/>
  <c r="AI22" i="10"/>
  <c r="AI25" i="10" s="1"/>
  <c r="AI26" i="10" s="1"/>
  <c r="AO22" i="10"/>
  <c r="AO25" i="10" s="1"/>
  <c r="AO26" i="10" s="1"/>
  <c r="AP22" i="10"/>
  <c r="AP25" i="10" s="1"/>
  <c r="BE22" i="10"/>
  <c r="BF22" i="10"/>
  <c r="BF25" i="10" s="1"/>
  <c r="BF26" i="10" s="1"/>
  <c r="BG22" i="10"/>
  <c r="BG25" i="10" s="1"/>
  <c r="BG26" i="10" s="1"/>
  <c r="BM22" i="10"/>
  <c r="BM25" i="10" s="1"/>
  <c r="B23" i="10"/>
  <c r="C23" i="10"/>
  <c r="E23" i="10"/>
  <c r="H23" i="10"/>
  <c r="I23" i="10"/>
  <c r="J23" i="10"/>
  <c r="K23" i="10"/>
  <c r="M23" i="10"/>
  <c r="P23" i="10"/>
  <c r="Q23" i="10"/>
  <c r="R23" i="10"/>
  <c r="S23" i="10"/>
  <c r="U23" i="10"/>
  <c r="X23" i="10"/>
  <c r="Y23" i="10"/>
  <c r="Z23" i="10"/>
  <c r="AA23" i="10"/>
  <c r="AC23" i="10"/>
  <c r="AF23" i="10"/>
  <c r="AG23" i="10"/>
  <c r="AH23" i="10"/>
  <c r="AI23" i="10"/>
  <c r="AK23" i="10"/>
  <c r="AO23" i="10"/>
  <c r="AP23" i="10"/>
  <c r="AQ23" i="10"/>
  <c r="AV23" i="10"/>
  <c r="AW23" i="10"/>
  <c r="AX23" i="10"/>
  <c r="AY23" i="10"/>
  <c r="BE23" i="10"/>
  <c r="BF23" i="10"/>
  <c r="BG23" i="10"/>
  <c r="BL23" i="10"/>
  <c r="BM23" i="10"/>
  <c r="BN23" i="10"/>
  <c r="B24" i="10"/>
  <c r="C24" i="10"/>
  <c r="D24" i="10"/>
  <c r="E24" i="10"/>
  <c r="H24" i="10"/>
  <c r="I24" i="10"/>
  <c r="J24" i="10"/>
  <c r="K24" i="10"/>
  <c r="L24" i="10"/>
  <c r="M24" i="10"/>
  <c r="P24" i="10"/>
  <c r="Q24" i="10"/>
  <c r="R24" i="10"/>
  <c r="S24" i="10"/>
  <c r="T24" i="10"/>
  <c r="U24" i="10"/>
  <c r="Y24" i="10"/>
  <c r="Z24" i="10"/>
  <c r="AA24" i="10"/>
  <c r="AB24" i="10"/>
  <c r="AC24" i="10"/>
  <c r="AF24" i="10"/>
  <c r="AG24" i="10"/>
  <c r="AH24" i="10"/>
  <c r="AI24" i="10"/>
  <c r="AJ24" i="10"/>
  <c r="AK24" i="10"/>
  <c r="AO24" i="10"/>
  <c r="AP24" i="10"/>
  <c r="AQ24" i="10"/>
  <c r="AR24" i="10"/>
  <c r="AS24" i="10"/>
  <c r="AV24" i="10"/>
  <c r="AW24" i="10"/>
  <c r="AX24" i="10"/>
  <c r="AY24" i="10"/>
  <c r="AZ24" i="10"/>
  <c r="BA24" i="10"/>
  <c r="BD24" i="10"/>
  <c r="BE24" i="10"/>
  <c r="BF24" i="10"/>
  <c r="BG24" i="10"/>
  <c r="BI24" i="10"/>
  <c r="BL24" i="10"/>
  <c r="BM24" i="10"/>
  <c r="BN24" i="10"/>
  <c r="C26" i="10"/>
  <c r="K26" i="10"/>
  <c r="K36" i="10" s="1"/>
  <c r="Z26" i="10"/>
  <c r="Z35" i="10" s="1"/>
  <c r="AC26" i="10"/>
  <c r="B27" i="10"/>
  <c r="C27" i="10"/>
  <c r="D27" i="10"/>
  <c r="E27" i="10"/>
  <c r="F27" i="10"/>
  <c r="I27" i="10"/>
  <c r="J27" i="10"/>
  <c r="K27" i="10"/>
  <c r="L27" i="10"/>
  <c r="M27" i="10"/>
  <c r="N27" i="10"/>
  <c r="Q27" i="10"/>
  <c r="R27" i="10"/>
  <c r="S27" i="10"/>
  <c r="T27" i="10"/>
  <c r="U27" i="10"/>
  <c r="V27" i="10"/>
  <c r="Y27" i="10"/>
  <c r="Z27" i="10"/>
  <c r="AA27" i="10"/>
  <c r="AB27" i="10"/>
  <c r="AC27" i="10"/>
  <c r="AD27" i="10"/>
  <c r="AG27" i="10"/>
  <c r="AH27" i="10"/>
  <c r="AI27" i="10"/>
  <c r="AJ27" i="10"/>
  <c r="AK27" i="10"/>
  <c r="AO27" i="10"/>
  <c r="AO36" i="10" s="1"/>
  <c r="AP27" i="10"/>
  <c r="AQ27" i="10"/>
  <c r="AR27" i="10"/>
  <c r="AS27" i="10"/>
  <c r="AT27" i="10"/>
  <c r="AW27" i="10"/>
  <c r="AX27" i="10"/>
  <c r="AY27" i="10"/>
  <c r="AZ27" i="10"/>
  <c r="BA27" i="10"/>
  <c r="BB27" i="10"/>
  <c r="BE27" i="10"/>
  <c r="BF27" i="10"/>
  <c r="BG27" i="10"/>
  <c r="BH27" i="10"/>
  <c r="BI27" i="10"/>
  <c r="BJ27" i="10"/>
  <c r="BM27" i="10"/>
  <c r="BN27" i="10"/>
  <c r="B28" i="10"/>
  <c r="C28" i="10"/>
  <c r="D28" i="10"/>
  <c r="E28" i="10"/>
  <c r="F28" i="10"/>
  <c r="H28" i="10"/>
  <c r="I28" i="10"/>
  <c r="J28" i="10"/>
  <c r="K28" i="10"/>
  <c r="L28" i="10"/>
  <c r="M28" i="10"/>
  <c r="N28" i="10"/>
  <c r="P28" i="10"/>
  <c r="Q28" i="10"/>
  <c r="R28" i="10"/>
  <c r="S28" i="10"/>
  <c r="T28" i="10"/>
  <c r="U28" i="10"/>
  <c r="V28" i="10"/>
  <c r="X28" i="10"/>
  <c r="Y28" i="10"/>
  <c r="Z28" i="10"/>
  <c r="AA28" i="10"/>
  <c r="AB28" i="10"/>
  <c r="AC28" i="10"/>
  <c r="AF28" i="10"/>
  <c r="AG28" i="10"/>
  <c r="AH28" i="10"/>
  <c r="AI28" i="10"/>
  <c r="AJ28" i="10"/>
  <c r="AK28" i="10"/>
  <c r="AL28" i="10"/>
  <c r="AN28" i="10"/>
  <c r="AO28" i="10"/>
  <c r="AP28" i="10"/>
  <c r="AQ28" i="10"/>
  <c r="AR28" i="10"/>
  <c r="AS28" i="10"/>
  <c r="AT28" i="10"/>
  <c r="AV28" i="10"/>
  <c r="AW28" i="10"/>
  <c r="AX28" i="10"/>
  <c r="AY28" i="10"/>
  <c r="AZ28" i="10"/>
  <c r="BA28" i="10"/>
  <c r="BB28" i="10"/>
  <c r="BE28" i="10"/>
  <c r="BF28" i="10"/>
  <c r="BG28" i="10"/>
  <c r="BH28" i="10"/>
  <c r="BI28" i="10"/>
  <c r="BJ28" i="10"/>
  <c r="BL28" i="10"/>
  <c r="BM28" i="10"/>
  <c r="BN28" i="10"/>
  <c r="B29" i="10"/>
  <c r="C29" i="10"/>
  <c r="D29" i="10"/>
  <c r="E29" i="10"/>
  <c r="H29" i="10"/>
  <c r="I29" i="10"/>
  <c r="J29" i="10"/>
  <c r="K29" i="10"/>
  <c r="L29" i="10"/>
  <c r="M29" i="10"/>
  <c r="P29" i="10"/>
  <c r="Q29" i="10"/>
  <c r="R29" i="10"/>
  <c r="S29" i="10"/>
  <c r="T29" i="10"/>
  <c r="U29" i="10"/>
  <c r="X29" i="10"/>
  <c r="Y29" i="10"/>
  <c r="Z29" i="10"/>
  <c r="Z33" i="10" s="1"/>
  <c r="AA29" i="10"/>
  <c r="AB29" i="10"/>
  <c r="AC29" i="10"/>
  <c r="AF29" i="10"/>
  <c r="AG29" i="10"/>
  <c r="AH29" i="10"/>
  <c r="AI29" i="10"/>
  <c r="AJ29" i="10"/>
  <c r="AK29" i="10"/>
  <c r="AN29" i="10"/>
  <c r="AO29" i="10"/>
  <c r="AP29" i="10"/>
  <c r="AQ29" i="10"/>
  <c r="AR29" i="10"/>
  <c r="AS29" i="10"/>
  <c r="AV29" i="10"/>
  <c r="AW29" i="10"/>
  <c r="AX29" i="10"/>
  <c r="AY29" i="10"/>
  <c r="AZ29" i="10"/>
  <c r="BA29" i="10"/>
  <c r="BD29" i="10"/>
  <c r="BE29" i="10"/>
  <c r="BF29" i="10"/>
  <c r="BG29" i="10"/>
  <c r="BH29" i="10"/>
  <c r="BI29" i="10"/>
  <c r="BM29" i="10"/>
  <c r="BN29" i="10"/>
  <c r="B30" i="10"/>
  <c r="C30" i="10"/>
  <c r="C34" i="10" s="1"/>
  <c r="D30" i="10"/>
  <c r="E30" i="10"/>
  <c r="F30" i="10"/>
  <c r="H30" i="10"/>
  <c r="I30" i="10"/>
  <c r="J30" i="10"/>
  <c r="K30" i="10"/>
  <c r="K34" i="10" s="1"/>
  <c r="L30" i="10"/>
  <c r="M30" i="10"/>
  <c r="N30" i="10"/>
  <c r="P30" i="10"/>
  <c r="Q30" i="10"/>
  <c r="R30" i="10"/>
  <c r="S30" i="10"/>
  <c r="T30" i="10"/>
  <c r="U30" i="10"/>
  <c r="V30" i="10"/>
  <c r="X30" i="10"/>
  <c r="Y30" i="10"/>
  <c r="Z30" i="10"/>
  <c r="AA30" i="10"/>
  <c r="AB30" i="10"/>
  <c r="AC30" i="10"/>
  <c r="AD30" i="10"/>
  <c r="AF30" i="10"/>
  <c r="AG30" i="10"/>
  <c r="AH30" i="10"/>
  <c r="AI30" i="10"/>
  <c r="AI34" i="10" s="1"/>
  <c r="AJ30" i="10"/>
  <c r="AK30" i="10"/>
  <c r="AL30" i="10"/>
  <c r="AN30" i="10"/>
  <c r="AO30" i="10"/>
  <c r="AP30" i="10"/>
  <c r="AQ30" i="10"/>
  <c r="AR30" i="10"/>
  <c r="AS30" i="10"/>
  <c r="AT30" i="10"/>
  <c r="AV30" i="10"/>
  <c r="AW30" i="10"/>
  <c r="AX30" i="10"/>
  <c r="AY30" i="10"/>
  <c r="AZ30" i="10"/>
  <c r="BA30" i="10"/>
  <c r="BB30" i="10"/>
  <c r="BD30" i="10"/>
  <c r="BE30" i="10"/>
  <c r="BF30" i="10"/>
  <c r="BG30" i="10"/>
  <c r="BG34" i="10" s="1"/>
  <c r="BH30" i="10"/>
  <c r="BI30" i="10"/>
  <c r="BJ30" i="10"/>
  <c r="BL30" i="10"/>
  <c r="BM30" i="10"/>
  <c r="BN30" i="10"/>
  <c r="B31" i="10"/>
  <c r="C31" i="10"/>
  <c r="D31" i="10"/>
  <c r="E31" i="10"/>
  <c r="F31" i="10"/>
  <c r="H31" i="10"/>
  <c r="I31" i="10"/>
  <c r="J31" i="10"/>
  <c r="K31" i="10"/>
  <c r="L31" i="10"/>
  <c r="M31" i="10"/>
  <c r="N31" i="10"/>
  <c r="P31" i="10"/>
  <c r="Q31" i="10"/>
  <c r="R31" i="10"/>
  <c r="S31" i="10"/>
  <c r="T31" i="10"/>
  <c r="U31" i="10"/>
  <c r="V31" i="10"/>
  <c r="X31" i="10"/>
  <c r="Y31" i="10"/>
  <c r="Z31" i="10"/>
  <c r="AA31" i="10"/>
  <c r="AB31" i="10"/>
  <c r="AC31" i="10"/>
  <c r="AD31" i="10"/>
  <c r="AF31" i="10"/>
  <c r="AG31" i="10"/>
  <c r="AH31" i="10"/>
  <c r="AI31" i="10"/>
  <c r="AJ31" i="10"/>
  <c r="AK31" i="10"/>
  <c r="AL31" i="10"/>
  <c r="AN31" i="10"/>
  <c r="AO31" i="10"/>
  <c r="AP31" i="10"/>
  <c r="AQ31" i="10"/>
  <c r="AR31" i="10"/>
  <c r="AS31" i="10"/>
  <c r="AT31" i="10"/>
  <c r="AV31" i="10"/>
  <c r="AW31" i="10"/>
  <c r="AX31" i="10"/>
  <c r="AY31" i="10"/>
  <c r="AZ31" i="10"/>
  <c r="BA31" i="10"/>
  <c r="BB31" i="10"/>
  <c r="BD31" i="10"/>
  <c r="BE31" i="10"/>
  <c r="BF31" i="10"/>
  <c r="BG31" i="10"/>
  <c r="BH31" i="10"/>
  <c r="BI31" i="10"/>
  <c r="BJ31" i="10"/>
  <c r="BL31" i="10"/>
  <c r="BM31" i="10"/>
  <c r="BN31" i="10"/>
  <c r="B32" i="10"/>
  <c r="C32" i="10"/>
  <c r="D32" i="10"/>
  <c r="E32" i="10"/>
  <c r="F32" i="10"/>
  <c r="H32" i="10"/>
  <c r="I32" i="10"/>
  <c r="J32" i="10"/>
  <c r="K32" i="10"/>
  <c r="L32" i="10"/>
  <c r="M32" i="10"/>
  <c r="N32" i="10"/>
  <c r="P32" i="10"/>
  <c r="Q32" i="10"/>
  <c r="R32" i="10"/>
  <c r="S32" i="10"/>
  <c r="T32" i="10"/>
  <c r="U32" i="10"/>
  <c r="V32" i="10"/>
  <c r="X32" i="10"/>
  <c r="Y32" i="10"/>
  <c r="Z32" i="10"/>
  <c r="AA32" i="10"/>
  <c r="AB32" i="10"/>
  <c r="AC32" i="10"/>
  <c r="AD32" i="10"/>
  <c r="AF32" i="10"/>
  <c r="AG32" i="10"/>
  <c r="AH32" i="10"/>
  <c r="AI32" i="10"/>
  <c r="AJ32" i="10"/>
  <c r="AK32" i="10"/>
  <c r="AL32" i="10"/>
  <c r="AN32" i="10"/>
  <c r="AO32" i="10"/>
  <c r="AP32" i="10"/>
  <c r="AQ32" i="10"/>
  <c r="AR32" i="10"/>
  <c r="AS32" i="10"/>
  <c r="AT32" i="10"/>
  <c r="AV32" i="10"/>
  <c r="AW32" i="10"/>
  <c r="AX32" i="10"/>
  <c r="AY32" i="10"/>
  <c r="AZ32" i="10"/>
  <c r="BA32" i="10"/>
  <c r="BB32" i="10"/>
  <c r="BD32" i="10"/>
  <c r="BE32" i="10"/>
  <c r="BF32" i="10"/>
  <c r="BG32" i="10"/>
  <c r="BH32" i="10"/>
  <c r="BI32" i="10"/>
  <c r="BJ32" i="10"/>
  <c r="BL32" i="10"/>
  <c r="BM32" i="10"/>
  <c r="BN32" i="10"/>
  <c r="C33" i="10"/>
  <c r="K33" i="10"/>
  <c r="AI33" i="10"/>
  <c r="AO33" i="10"/>
  <c r="BG33" i="10"/>
  <c r="Z34" i="10"/>
  <c r="AO34" i="10"/>
  <c r="BF34" i="10"/>
  <c r="K35" i="10"/>
  <c r="AO35" i="10"/>
  <c r="Z36" i="10"/>
  <c r="K38" i="10"/>
  <c r="AO38" i="10"/>
  <c r="AO40" i="10" s="1"/>
  <c r="K39" i="10"/>
  <c r="Z39" i="10"/>
  <c r="AO39" i="10"/>
  <c r="K40" i="10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E16" i="11"/>
  <c r="BF16" i="11"/>
  <c r="BG16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E18" i="11"/>
  <c r="BF18" i="11"/>
  <c r="BG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E19" i="11"/>
  <c r="BF19" i="11"/>
  <c r="BG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E20" i="11"/>
  <c r="BF20" i="11"/>
  <c r="BG20" i="11"/>
  <c r="B21" i="11"/>
  <c r="C21" i="11"/>
  <c r="D21" i="11"/>
  <c r="D37" i="11" s="1"/>
  <c r="E21" i="11"/>
  <c r="F21" i="11"/>
  <c r="G21" i="11"/>
  <c r="H21" i="11"/>
  <c r="I21" i="11"/>
  <c r="J21" i="11"/>
  <c r="K21" i="11"/>
  <c r="L21" i="11"/>
  <c r="L29" i="11" s="1"/>
  <c r="M21" i="11"/>
  <c r="N21" i="11"/>
  <c r="O21" i="11"/>
  <c r="P21" i="11"/>
  <c r="Q21" i="11"/>
  <c r="R21" i="11"/>
  <c r="S21" i="11"/>
  <c r="T21" i="11"/>
  <c r="T37" i="11" s="1"/>
  <c r="U21" i="11"/>
  <c r="V21" i="11"/>
  <c r="W21" i="11"/>
  <c r="X21" i="11"/>
  <c r="Y21" i="11"/>
  <c r="Z21" i="11"/>
  <c r="AA21" i="11"/>
  <c r="AB21" i="11"/>
  <c r="AB37" i="11" s="1"/>
  <c r="AD21" i="11"/>
  <c r="AE21" i="11"/>
  <c r="AF21" i="11"/>
  <c r="AG21" i="11"/>
  <c r="AH21" i="11"/>
  <c r="AI21" i="11"/>
  <c r="AJ21" i="11"/>
  <c r="AK21" i="11"/>
  <c r="AK37" i="11" s="1"/>
  <c r="AL21" i="11"/>
  <c r="AM21" i="11"/>
  <c r="AN21" i="11"/>
  <c r="AO21" i="11"/>
  <c r="AP21" i="11"/>
  <c r="AQ21" i="11"/>
  <c r="AR21" i="11"/>
  <c r="AS21" i="11"/>
  <c r="AS37" i="11" s="1"/>
  <c r="AT21" i="11"/>
  <c r="AU21" i="11"/>
  <c r="AV21" i="11"/>
  <c r="AW21" i="11"/>
  <c r="AX21" i="11"/>
  <c r="AY21" i="11"/>
  <c r="AZ21" i="11"/>
  <c r="BA21" i="11"/>
  <c r="BA37" i="11" s="1"/>
  <c r="BB21" i="11"/>
  <c r="BC21" i="11"/>
  <c r="BE21" i="11"/>
  <c r="BF21" i="11"/>
  <c r="BG21" i="11"/>
  <c r="B22" i="11"/>
  <c r="C22" i="11"/>
  <c r="D22" i="11"/>
  <c r="D49" i="11" s="1"/>
  <c r="E22" i="11"/>
  <c r="F22" i="11"/>
  <c r="G22" i="11"/>
  <c r="H22" i="11"/>
  <c r="I22" i="11"/>
  <c r="J22" i="11"/>
  <c r="K22" i="11"/>
  <c r="L22" i="11"/>
  <c r="L49" i="11" s="1"/>
  <c r="M22" i="11"/>
  <c r="N22" i="11"/>
  <c r="O22" i="11"/>
  <c r="P22" i="11"/>
  <c r="Q22" i="11"/>
  <c r="R22" i="11"/>
  <c r="S22" i="11"/>
  <c r="T22" i="11"/>
  <c r="T49" i="11" s="1"/>
  <c r="U22" i="11"/>
  <c r="V22" i="11"/>
  <c r="W22" i="11"/>
  <c r="X22" i="11"/>
  <c r="Y22" i="11"/>
  <c r="Z22" i="11"/>
  <c r="AA22" i="11"/>
  <c r="AB22" i="11"/>
  <c r="AB49" i="11" s="1"/>
  <c r="AD22" i="11"/>
  <c r="AE22" i="11"/>
  <c r="AF22" i="11"/>
  <c r="AG22" i="11"/>
  <c r="AH22" i="11"/>
  <c r="AI22" i="11"/>
  <c r="AJ22" i="11"/>
  <c r="AK22" i="11"/>
  <c r="AK49" i="11" s="1"/>
  <c r="AL22" i="11"/>
  <c r="AM22" i="11"/>
  <c r="AN22" i="11"/>
  <c r="AO22" i="11"/>
  <c r="AP22" i="11"/>
  <c r="AQ22" i="11"/>
  <c r="AR22" i="11"/>
  <c r="AS22" i="11"/>
  <c r="AS49" i="11" s="1"/>
  <c r="AT22" i="11"/>
  <c r="AU22" i="11"/>
  <c r="AV22" i="11"/>
  <c r="AW22" i="11"/>
  <c r="AX22" i="11"/>
  <c r="AY22" i="11"/>
  <c r="AZ22" i="11"/>
  <c r="BA22" i="11"/>
  <c r="BA49" i="11" s="1"/>
  <c r="BB22" i="11"/>
  <c r="BC22" i="11"/>
  <c r="BE22" i="11"/>
  <c r="BF22" i="11"/>
  <c r="BG22" i="11"/>
  <c r="B23" i="11"/>
  <c r="C23" i="11"/>
  <c r="D23" i="11"/>
  <c r="D48" i="11" s="1"/>
  <c r="E23" i="11"/>
  <c r="F23" i="11"/>
  <c r="G23" i="11"/>
  <c r="H23" i="11"/>
  <c r="I23" i="11"/>
  <c r="J23" i="11"/>
  <c r="K23" i="11"/>
  <c r="L23" i="11"/>
  <c r="L48" i="11" s="1"/>
  <c r="M23" i="11"/>
  <c r="N23" i="11"/>
  <c r="O23" i="11"/>
  <c r="P23" i="11"/>
  <c r="Q23" i="11"/>
  <c r="R23" i="11"/>
  <c r="S23" i="11"/>
  <c r="T23" i="11"/>
  <c r="T48" i="11" s="1"/>
  <c r="U23" i="11"/>
  <c r="V23" i="11"/>
  <c r="W23" i="11"/>
  <c r="X23" i="11"/>
  <c r="Y23" i="11"/>
  <c r="Z23" i="11"/>
  <c r="AA23" i="11"/>
  <c r="AB23" i="11"/>
  <c r="AB48" i="11" s="1"/>
  <c r="AD23" i="11"/>
  <c r="AE23" i="11"/>
  <c r="AF23" i="11"/>
  <c r="AG23" i="11"/>
  <c r="AH23" i="11"/>
  <c r="AI23" i="11"/>
  <c r="AJ23" i="11"/>
  <c r="AK23" i="11"/>
  <c r="AK48" i="11" s="1"/>
  <c r="AL23" i="11"/>
  <c r="AM23" i="11"/>
  <c r="AN23" i="11"/>
  <c r="AO23" i="11"/>
  <c r="AP23" i="11"/>
  <c r="AQ23" i="11"/>
  <c r="AR23" i="11"/>
  <c r="AS23" i="11"/>
  <c r="AS48" i="11" s="1"/>
  <c r="AT23" i="11"/>
  <c r="AU23" i="11"/>
  <c r="AV23" i="11"/>
  <c r="AW23" i="11"/>
  <c r="AX23" i="11"/>
  <c r="AY23" i="11"/>
  <c r="AZ23" i="11"/>
  <c r="BA23" i="11"/>
  <c r="BA48" i="11" s="1"/>
  <c r="BB23" i="11"/>
  <c r="BC23" i="11"/>
  <c r="BE23" i="11"/>
  <c r="BF23" i="11"/>
  <c r="BG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E24" i="11"/>
  <c r="BF24" i="11"/>
  <c r="BG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E25" i="11"/>
  <c r="BF25" i="11"/>
  <c r="BG25" i="11"/>
  <c r="B26" i="11"/>
  <c r="B27" i="11" s="1"/>
  <c r="B30" i="11" s="1"/>
  <c r="C26" i="11"/>
  <c r="D26" i="11"/>
  <c r="D33" i="11" s="1"/>
  <c r="D40" i="11" s="1"/>
  <c r="E26" i="11"/>
  <c r="F26" i="11"/>
  <c r="G26" i="11"/>
  <c r="H26" i="11"/>
  <c r="I26" i="11"/>
  <c r="J26" i="11"/>
  <c r="J27" i="11" s="1"/>
  <c r="J30" i="11" s="1"/>
  <c r="K26" i="11"/>
  <c r="K27" i="11" s="1"/>
  <c r="L26" i="11"/>
  <c r="L47" i="11" s="1"/>
  <c r="L52" i="11" s="1"/>
  <c r="M26" i="11"/>
  <c r="N26" i="11"/>
  <c r="O26" i="11"/>
  <c r="P26" i="11"/>
  <c r="Q26" i="11"/>
  <c r="R26" i="11"/>
  <c r="R27" i="11" s="1"/>
  <c r="R30" i="11" s="1"/>
  <c r="S26" i="11"/>
  <c r="T26" i="11"/>
  <c r="U26" i="11"/>
  <c r="V26" i="11"/>
  <c r="W26" i="11"/>
  <c r="X26" i="11"/>
  <c r="Y26" i="11"/>
  <c r="Z26" i="11"/>
  <c r="Z27" i="11" s="1"/>
  <c r="Z30" i="11" s="1"/>
  <c r="AA26" i="11"/>
  <c r="AB26" i="11"/>
  <c r="AB33" i="11" s="1"/>
  <c r="AB40" i="11" s="1"/>
  <c r="AD26" i="11"/>
  <c r="AE26" i="11"/>
  <c r="AF26" i="11"/>
  <c r="AG26" i="11"/>
  <c r="AG27" i="11" s="1"/>
  <c r="AG30" i="11" s="1"/>
  <c r="AH26" i="11"/>
  <c r="AI26" i="11"/>
  <c r="AI27" i="11" s="1"/>
  <c r="AI30" i="11" s="1"/>
  <c r="AJ26" i="11"/>
  <c r="AK26" i="11"/>
  <c r="AK33" i="11" s="1"/>
  <c r="AK40" i="11" s="1"/>
  <c r="AL26" i="11"/>
  <c r="AM26" i="11"/>
  <c r="AN26" i="11"/>
  <c r="AO26" i="11"/>
  <c r="AO27" i="11" s="1"/>
  <c r="AO30" i="11" s="1"/>
  <c r="AP26" i="11"/>
  <c r="AQ26" i="11"/>
  <c r="AQ27" i="11" s="1"/>
  <c r="AQ30" i="11" s="1"/>
  <c r="AR26" i="11"/>
  <c r="AR27" i="11" s="1"/>
  <c r="AS26" i="11"/>
  <c r="AS47" i="11" s="1"/>
  <c r="AS52" i="11" s="1"/>
  <c r="AT26" i="11"/>
  <c r="AU26" i="11"/>
  <c r="AV26" i="11"/>
  <c r="AW26" i="11"/>
  <c r="AW27" i="11" s="1"/>
  <c r="AW30" i="11" s="1"/>
  <c r="AX26" i="11"/>
  <c r="AY26" i="11"/>
  <c r="AY27" i="11" s="1"/>
  <c r="AY30" i="11" s="1"/>
  <c r="AZ26" i="11"/>
  <c r="BA26" i="11"/>
  <c r="BB26" i="11"/>
  <c r="BC26" i="11"/>
  <c r="BE26" i="11"/>
  <c r="BF26" i="11"/>
  <c r="BF27" i="11" s="1"/>
  <c r="BF30" i="11" s="1"/>
  <c r="BG26" i="11"/>
  <c r="B28" i="11"/>
  <c r="C28" i="11"/>
  <c r="D28" i="11"/>
  <c r="E28" i="11"/>
  <c r="E29" i="11" s="1"/>
  <c r="E27" i="11"/>
  <c r="E30" i="11" s="1"/>
  <c r="F28" i="11"/>
  <c r="F27" i="11" s="1"/>
  <c r="G28" i="11"/>
  <c r="H28" i="11"/>
  <c r="H27" i="11" s="1"/>
  <c r="I28" i="11"/>
  <c r="I27" i="11"/>
  <c r="J28" i="11"/>
  <c r="K28" i="11"/>
  <c r="L28" i="11"/>
  <c r="M28" i="11"/>
  <c r="M29" i="11" s="1"/>
  <c r="M38" i="11" s="1"/>
  <c r="M42" i="11" s="1"/>
  <c r="M27" i="11"/>
  <c r="M30" i="11" s="1"/>
  <c r="N28" i="11"/>
  <c r="N27" i="11" s="1"/>
  <c r="O28" i="11"/>
  <c r="P28" i="11"/>
  <c r="P27" i="11" s="1"/>
  <c r="P30" i="11" s="1"/>
  <c r="Q28" i="11"/>
  <c r="Q27" i="11"/>
  <c r="R28" i="11"/>
  <c r="S28" i="11"/>
  <c r="T28" i="11"/>
  <c r="U28" i="11"/>
  <c r="U29" i="11" s="1"/>
  <c r="U38" i="11" s="1"/>
  <c r="U42" i="11" s="1"/>
  <c r="U27" i="11"/>
  <c r="U30" i="11" s="1"/>
  <c r="V28" i="11"/>
  <c r="V29" i="11" s="1"/>
  <c r="W28" i="11"/>
  <c r="X28" i="11"/>
  <c r="X27" i="11" s="1"/>
  <c r="X30" i="11" s="1"/>
  <c r="Y28" i="11"/>
  <c r="Y27" i="11"/>
  <c r="Z28" i="11"/>
  <c r="AA28" i="11"/>
  <c r="AB28" i="11"/>
  <c r="AD28" i="11"/>
  <c r="AD29" i="11" s="1"/>
  <c r="AD38" i="11" s="1"/>
  <c r="AD42" i="11" s="1"/>
  <c r="AD27" i="11"/>
  <c r="AD30" i="11" s="1"/>
  <c r="AE28" i="11"/>
  <c r="AE29" i="11" s="1"/>
  <c r="AF28" i="11"/>
  <c r="AG28" i="11"/>
  <c r="AH28" i="11"/>
  <c r="AH27" i="11"/>
  <c r="AI28" i="11"/>
  <c r="AJ28" i="11"/>
  <c r="AK28" i="11"/>
  <c r="AL28" i="11"/>
  <c r="AL29" i="11" s="1"/>
  <c r="AL38" i="11" s="1"/>
  <c r="AL42" i="11" s="1"/>
  <c r="AL27" i="11"/>
  <c r="AL30" i="11" s="1"/>
  <c r="AM28" i="11"/>
  <c r="AM29" i="11" s="1"/>
  <c r="AM38" i="11" s="1"/>
  <c r="AN28" i="11"/>
  <c r="AO28" i="11"/>
  <c r="AP28" i="11"/>
  <c r="AP27" i="11"/>
  <c r="AQ28" i="11"/>
  <c r="AR28" i="11"/>
  <c r="AS28" i="11"/>
  <c r="AT28" i="11"/>
  <c r="AT29" i="11" s="1"/>
  <c r="AT38" i="11" s="1"/>
  <c r="AT42" i="11" s="1"/>
  <c r="AT27" i="11"/>
  <c r="AT30" i="11" s="1"/>
  <c r="AU28" i="11"/>
  <c r="AU29" i="11" s="1"/>
  <c r="AU38" i="11" s="1"/>
  <c r="AV28" i="11"/>
  <c r="AW28" i="11"/>
  <c r="AX28" i="11"/>
  <c r="AX27" i="11"/>
  <c r="AY28" i="11"/>
  <c r="AZ28" i="11"/>
  <c r="BA28" i="11"/>
  <c r="BB28" i="11"/>
  <c r="BB29" i="11" s="1"/>
  <c r="BB38" i="11" s="1"/>
  <c r="BB42" i="11" s="1"/>
  <c r="BB27" i="11"/>
  <c r="BB30" i="11" s="1"/>
  <c r="BC28" i="11"/>
  <c r="BC29" i="11" s="1"/>
  <c r="BC38" i="11" s="1"/>
  <c r="BE28" i="11"/>
  <c r="BF28" i="11"/>
  <c r="BG28" i="11"/>
  <c r="BG27" i="11"/>
  <c r="B29" i="11"/>
  <c r="D29" i="11"/>
  <c r="F29" i="11"/>
  <c r="H29" i="11"/>
  <c r="I29" i="11"/>
  <c r="J29" i="11"/>
  <c r="N29" i="11"/>
  <c r="P29" i="11"/>
  <c r="Q29" i="11"/>
  <c r="R29" i="11"/>
  <c r="X29" i="11"/>
  <c r="Y29" i="11"/>
  <c r="Z29" i="11"/>
  <c r="AG29" i="11"/>
  <c r="AH29" i="11"/>
  <c r="AI29" i="11"/>
  <c r="AO29" i="11"/>
  <c r="AP29" i="11"/>
  <c r="AQ29" i="11"/>
  <c r="AW29" i="11"/>
  <c r="AX29" i="11"/>
  <c r="AY29" i="11"/>
  <c r="BF29" i="11"/>
  <c r="BG29" i="11"/>
  <c r="I30" i="11"/>
  <c r="Q30" i="11"/>
  <c r="Y30" i="11"/>
  <c r="AH30" i="11"/>
  <c r="AP30" i="11"/>
  <c r="AX30" i="11"/>
  <c r="BG30" i="11"/>
  <c r="B31" i="11"/>
  <c r="F31" i="11"/>
  <c r="H31" i="11"/>
  <c r="I31" i="11"/>
  <c r="J31" i="11"/>
  <c r="N31" i="11"/>
  <c r="P31" i="11"/>
  <c r="Q31" i="11"/>
  <c r="R31" i="11"/>
  <c r="X31" i="11"/>
  <c r="Y31" i="11"/>
  <c r="Z31" i="11"/>
  <c r="AG31" i="11"/>
  <c r="AH31" i="11"/>
  <c r="AI31" i="11"/>
  <c r="AO31" i="11"/>
  <c r="AP31" i="11"/>
  <c r="AQ31" i="11"/>
  <c r="AW31" i="11"/>
  <c r="AX31" i="11"/>
  <c r="AY31" i="11"/>
  <c r="BF31" i="11"/>
  <c r="BG31" i="11"/>
  <c r="B32" i="11"/>
  <c r="C32" i="11"/>
  <c r="D32" i="11"/>
  <c r="D45" i="11" s="1"/>
  <c r="D55" i="11" s="1"/>
  <c r="E32" i="11"/>
  <c r="F32" i="11"/>
  <c r="G32" i="11"/>
  <c r="H32" i="11"/>
  <c r="I32" i="11"/>
  <c r="J32" i="11"/>
  <c r="K32" i="11"/>
  <c r="L32" i="11"/>
  <c r="L45" i="11" s="1"/>
  <c r="L55" i="11" s="1"/>
  <c r="M32" i="11"/>
  <c r="N32" i="11"/>
  <c r="O32" i="11"/>
  <c r="P32" i="11"/>
  <c r="Q32" i="11"/>
  <c r="R32" i="11"/>
  <c r="S32" i="11"/>
  <c r="T32" i="11"/>
  <c r="T45" i="11" s="1"/>
  <c r="U32" i="11"/>
  <c r="V32" i="11"/>
  <c r="W32" i="11"/>
  <c r="X32" i="11"/>
  <c r="Y32" i="11"/>
  <c r="Z32" i="11"/>
  <c r="AA32" i="11"/>
  <c r="AB32" i="11"/>
  <c r="AB45" i="11" s="1"/>
  <c r="AD32" i="11"/>
  <c r="AE32" i="11"/>
  <c r="AF32" i="11"/>
  <c r="AG32" i="11"/>
  <c r="AH32" i="11"/>
  <c r="AI32" i="11"/>
  <c r="AJ32" i="11"/>
  <c r="AK32" i="11"/>
  <c r="AK45" i="11" s="1"/>
  <c r="AL32" i="11"/>
  <c r="AM32" i="11"/>
  <c r="AN32" i="11"/>
  <c r="AO32" i="11"/>
  <c r="AP32" i="11"/>
  <c r="AQ32" i="11"/>
  <c r="AR32" i="11"/>
  <c r="AS32" i="11"/>
  <c r="AS45" i="11" s="1"/>
  <c r="AT32" i="11"/>
  <c r="AU32" i="11"/>
  <c r="AV32" i="11"/>
  <c r="AW32" i="11"/>
  <c r="AX32" i="11"/>
  <c r="AY32" i="11"/>
  <c r="AZ32" i="11"/>
  <c r="BA32" i="11"/>
  <c r="BA45" i="11" s="1"/>
  <c r="BB32" i="11"/>
  <c r="BC32" i="11"/>
  <c r="BE32" i="11"/>
  <c r="BF32" i="11"/>
  <c r="BG32" i="11"/>
  <c r="B33" i="11"/>
  <c r="E33" i="11"/>
  <c r="F33" i="11"/>
  <c r="H33" i="11"/>
  <c r="I33" i="11"/>
  <c r="J33" i="11"/>
  <c r="L33" i="11"/>
  <c r="L40" i="11" s="1"/>
  <c r="M33" i="11"/>
  <c r="N33" i="11"/>
  <c r="P33" i="11"/>
  <c r="Q33" i="11"/>
  <c r="R33" i="11"/>
  <c r="U33" i="11"/>
  <c r="V33" i="11"/>
  <c r="X33" i="11"/>
  <c r="Y33" i="11"/>
  <c r="Z33" i="11"/>
  <c r="AD33" i="11"/>
  <c r="AE33" i="11"/>
  <c r="AG33" i="11"/>
  <c r="AH33" i="11"/>
  <c r="AI33" i="11"/>
  <c r="AL33" i="11"/>
  <c r="AM33" i="11"/>
  <c r="AO33" i="11"/>
  <c r="AP33" i="11"/>
  <c r="AQ33" i="11"/>
  <c r="AS33" i="11"/>
  <c r="AS40" i="11" s="1"/>
  <c r="AT33" i="11"/>
  <c r="AU33" i="11"/>
  <c r="AW33" i="11"/>
  <c r="AX33" i="11"/>
  <c r="AY33" i="11"/>
  <c r="BB33" i="11"/>
  <c r="BC33" i="11"/>
  <c r="BF33" i="11"/>
  <c r="BG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E34" i="11"/>
  <c r="BF34" i="11"/>
  <c r="BG34" i="11"/>
  <c r="B35" i="11"/>
  <c r="B41" i="11" s="1"/>
  <c r="C35" i="11"/>
  <c r="D35" i="11"/>
  <c r="E35" i="11"/>
  <c r="F35" i="11"/>
  <c r="G35" i="11"/>
  <c r="H35" i="11"/>
  <c r="I35" i="11"/>
  <c r="I41" i="11" s="1"/>
  <c r="J35" i="11"/>
  <c r="J41" i="11" s="1"/>
  <c r="K35" i="11"/>
  <c r="L35" i="11"/>
  <c r="M35" i="11"/>
  <c r="N35" i="11"/>
  <c r="O35" i="11"/>
  <c r="P35" i="11"/>
  <c r="Q35" i="11"/>
  <c r="Q41" i="11" s="1"/>
  <c r="R35" i="11"/>
  <c r="R41" i="11" s="1"/>
  <c r="R43" i="11" s="1"/>
  <c r="S35" i="11"/>
  <c r="T35" i="11"/>
  <c r="U35" i="11"/>
  <c r="V35" i="11"/>
  <c r="W35" i="11"/>
  <c r="X35" i="11"/>
  <c r="Y35" i="11"/>
  <c r="Y41" i="11" s="1"/>
  <c r="Z35" i="11"/>
  <c r="Z41" i="11" s="1"/>
  <c r="AA35" i="11"/>
  <c r="AB35" i="11"/>
  <c r="AD35" i="11"/>
  <c r="AE35" i="11"/>
  <c r="AF35" i="11"/>
  <c r="AG35" i="11"/>
  <c r="AH35" i="11"/>
  <c r="AH41" i="11" s="1"/>
  <c r="AH42" i="11" s="1"/>
  <c r="AI35" i="11"/>
  <c r="AI41" i="11" s="1"/>
  <c r="AJ35" i="11"/>
  <c r="AK35" i="11"/>
  <c r="AL35" i="11"/>
  <c r="AM35" i="11"/>
  <c r="AN35" i="11"/>
  <c r="AO35" i="11"/>
  <c r="AP35" i="11"/>
  <c r="AP41" i="11" s="1"/>
  <c r="AQ35" i="11"/>
  <c r="AQ41" i="11" s="1"/>
  <c r="AR35" i="11"/>
  <c r="AS35" i="11"/>
  <c r="AT35" i="11"/>
  <c r="AU35" i="11"/>
  <c r="AV35" i="11"/>
  <c r="AW35" i="11"/>
  <c r="AX35" i="11"/>
  <c r="AX41" i="11" s="1"/>
  <c r="AY35" i="11"/>
  <c r="AY41" i="11" s="1"/>
  <c r="AZ35" i="11"/>
  <c r="BA35" i="11"/>
  <c r="BB35" i="11"/>
  <c r="BC35" i="11"/>
  <c r="BE35" i="11"/>
  <c r="BF35" i="11"/>
  <c r="BG35" i="11"/>
  <c r="BG41" i="11" s="1"/>
  <c r="BG43" i="11" s="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E36" i="11"/>
  <c r="BF36" i="11"/>
  <c r="BG36" i="11"/>
  <c r="B37" i="11"/>
  <c r="C37" i="11"/>
  <c r="E37" i="11"/>
  <c r="F37" i="11"/>
  <c r="G37" i="11"/>
  <c r="H37" i="11"/>
  <c r="I37" i="11"/>
  <c r="J37" i="11"/>
  <c r="K37" i="11"/>
  <c r="M37" i="11"/>
  <c r="N37" i="11"/>
  <c r="O37" i="11"/>
  <c r="P37" i="11"/>
  <c r="P42" i="11" s="1"/>
  <c r="Q37" i="11"/>
  <c r="R37" i="11"/>
  <c r="S37" i="11"/>
  <c r="U37" i="11"/>
  <c r="V37" i="11"/>
  <c r="W37" i="11"/>
  <c r="X37" i="11"/>
  <c r="Y37" i="11"/>
  <c r="Z37" i="11"/>
  <c r="AA37" i="11"/>
  <c r="AD37" i="11"/>
  <c r="AE37" i="11"/>
  <c r="AF37" i="11"/>
  <c r="AG37" i="11"/>
  <c r="AH37" i="11"/>
  <c r="AI37" i="11"/>
  <c r="AJ37" i="11"/>
  <c r="AL37" i="11"/>
  <c r="AM37" i="11"/>
  <c r="AN37" i="11"/>
  <c r="AO37" i="11"/>
  <c r="AP37" i="11"/>
  <c r="AQ37" i="11"/>
  <c r="AR37" i="11"/>
  <c r="AT37" i="11"/>
  <c r="AU37" i="11"/>
  <c r="AV37" i="11"/>
  <c r="AW37" i="11"/>
  <c r="AX37" i="11"/>
  <c r="AY37" i="11"/>
  <c r="AZ37" i="11"/>
  <c r="BB37" i="11"/>
  <c r="BC37" i="11"/>
  <c r="BE37" i="11"/>
  <c r="BF37" i="11"/>
  <c r="BG37" i="11"/>
  <c r="B38" i="11"/>
  <c r="F38" i="11"/>
  <c r="H38" i="11"/>
  <c r="I38" i="11"/>
  <c r="J38" i="11"/>
  <c r="N38" i="11"/>
  <c r="P38" i="11"/>
  <c r="Q38" i="11"/>
  <c r="R38" i="11"/>
  <c r="X38" i="11"/>
  <c r="Y38" i="11"/>
  <c r="Z38" i="11"/>
  <c r="AG38" i="11"/>
  <c r="AH38" i="11"/>
  <c r="AI38" i="11"/>
  <c r="AO38" i="11"/>
  <c r="AP38" i="11"/>
  <c r="AQ38" i="11"/>
  <c r="AW38" i="11"/>
  <c r="AW42" i="11" s="1"/>
  <c r="AX38" i="11"/>
  <c r="AY38" i="11"/>
  <c r="BF38" i="11"/>
  <c r="BG38" i="11"/>
  <c r="B39" i="11"/>
  <c r="E39" i="11"/>
  <c r="I39" i="11"/>
  <c r="J39" i="11"/>
  <c r="M39" i="11"/>
  <c r="P39" i="11"/>
  <c r="Q39" i="11"/>
  <c r="R39" i="11"/>
  <c r="U39" i="11"/>
  <c r="X39" i="11"/>
  <c r="Y39" i="11"/>
  <c r="Z39" i="11"/>
  <c r="AD39" i="11"/>
  <c r="AG39" i="11"/>
  <c r="AH39" i="11"/>
  <c r="AI39" i="11"/>
  <c r="AL39" i="11"/>
  <c r="AO39" i="11"/>
  <c r="AP39" i="11"/>
  <c r="AQ39" i="11"/>
  <c r="AT39" i="11"/>
  <c r="AW39" i="11"/>
  <c r="AX39" i="11"/>
  <c r="AY39" i="11"/>
  <c r="BB39" i="11"/>
  <c r="BF39" i="11"/>
  <c r="BF43" i="11" s="1"/>
  <c r="BG39" i="11"/>
  <c r="B40" i="11"/>
  <c r="E40" i="11"/>
  <c r="F40" i="11"/>
  <c r="H40" i="11"/>
  <c r="I40" i="11"/>
  <c r="J40" i="11"/>
  <c r="M40" i="11"/>
  <c r="N40" i="11"/>
  <c r="P40" i="11"/>
  <c r="Q40" i="11"/>
  <c r="R40" i="11"/>
  <c r="U40" i="11"/>
  <c r="V40" i="11"/>
  <c r="X40" i="11"/>
  <c r="Y40" i="11"/>
  <c r="Z40" i="11"/>
  <c r="AD40" i="11"/>
  <c r="AE40" i="11"/>
  <c r="AG40" i="11"/>
  <c r="AG43" i="11" s="1"/>
  <c r="AH40" i="11"/>
  <c r="AI40" i="11"/>
  <c r="AL40" i="11"/>
  <c r="AM40" i="11"/>
  <c r="AO40" i="11"/>
  <c r="AP40" i="11"/>
  <c r="AQ40" i="11"/>
  <c r="AT40" i="11"/>
  <c r="AU40" i="11"/>
  <c r="AW40" i="11"/>
  <c r="AX40" i="11"/>
  <c r="AY40" i="11"/>
  <c r="BB40" i="11"/>
  <c r="BC40" i="11"/>
  <c r="BF40" i="11"/>
  <c r="BG40" i="11"/>
  <c r="C41" i="11"/>
  <c r="D41" i="11"/>
  <c r="E41" i="11"/>
  <c r="F41" i="11"/>
  <c r="G41" i="11"/>
  <c r="H41" i="11"/>
  <c r="K41" i="11"/>
  <c r="L41" i="11"/>
  <c r="M41" i="11"/>
  <c r="N41" i="11"/>
  <c r="O41" i="11"/>
  <c r="P41" i="11"/>
  <c r="S41" i="11"/>
  <c r="T41" i="11"/>
  <c r="U41" i="11"/>
  <c r="V41" i="11"/>
  <c r="W41" i="11"/>
  <c r="X41" i="11"/>
  <c r="AA41" i="11"/>
  <c r="AB41" i="11"/>
  <c r="AD41" i="11"/>
  <c r="AE41" i="11"/>
  <c r="AF41" i="11"/>
  <c r="AG41" i="11"/>
  <c r="AJ41" i="11"/>
  <c r="AK41" i="11"/>
  <c r="AL41" i="11"/>
  <c r="AM41" i="11"/>
  <c r="AM42" i="11" s="1"/>
  <c r="AN41" i="11"/>
  <c r="AO41" i="11"/>
  <c r="AR41" i="11"/>
  <c r="AS41" i="11"/>
  <c r="AT41" i="11"/>
  <c r="AU41" i="11"/>
  <c r="AU42" i="11" s="1"/>
  <c r="AV41" i="11"/>
  <c r="AW41" i="11"/>
  <c r="AZ41" i="11"/>
  <c r="BA41" i="11"/>
  <c r="BB41" i="11"/>
  <c r="BC41" i="11"/>
  <c r="BC42" i="11" s="1"/>
  <c r="BE41" i="11"/>
  <c r="BF41" i="11"/>
  <c r="F42" i="11"/>
  <c r="N42" i="11"/>
  <c r="X42" i="11"/>
  <c r="AG42" i="11"/>
  <c r="BF42" i="11"/>
  <c r="BG42" i="11"/>
  <c r="E43" i="11"/>
  <c r="M43" i="11"/>
  <c r="P43" i="11"/>
  <c r="U43" i="11"/>
  <c r="X43" i="11"/>
  <c r="AD43" i="11"/>
  <c r="AL43" i="11"/>
  <c r="AT43" i="11"/>
  <c r="AW43" i="11"/>
  <c r="BB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E44" i="11"/>
  <c r="BF44" i="11"/>
  <c r="BG44" i="11"/>
  <c r="B45" i="11"/>
  <c r="C45" i="11"/>
  <c r="E45" i="11"/>
  <c r="F45" i="11"/>
  <c r="G45" i="11"/>
  <c r="H45" i="11"/>
  <c r="I45" i="11"/>
  <c r="J45" i="11"/>
  <c r="J55" i="11" s="1"/>
  <c r="K45" i="11"/>
  <c r="M45" i="11"/>
  <c r="N45" i="11"/>
  <c r="N55" i="11" s="1"/>
  <c r="N51" i="11" s="1"/>
  <c r="N50" i="11" s="1"/>
  <c r="O45" i="11"/>
  <c r="P45" i="11"/>
  <c r="Q45" i="11"/>
  <c r="Q55" i="11" s="1"/>
  <c r="Q51" i="11" s="1"/>
  <c r="R45" i="11"/>
  <c r="R55" i="11" s="1"/>
  <c r="S45" i="11"/>
  <c r="U45" i="11"/>
  <c r="V45" i="11"/>
  <c r="W45" i="11"/>
  <c r="X45" i="11"/>
  <c r="Y45" i="11"/>
  <c r="Y55" i="11" s="1"/>
  <c r="Z45" i="11"/>
  <c r="AA45" i="11"/>
  <c r="AD45" i="11"/>
  <c r="AE45" i="11"/>
  <c r="AF45" i="11"/>
  <c r="AG45" i="11"/>
  <c r="AH45" i="11"/>
  <c r="AH55" i="11" s="1"/>
  <c r="AI45" i="11"/>
  <c r="AJ45" i="11"/>
  <c r="AL45" i="11"/>
  <c r="AM45" i="11"/>
  <c r="AN45" i="11"/>
  <c r="AO45" i="11"/>
  <c r="AP45" i="11"/>
  <c r="AP55" i="11" s="1"/>
  <c r="AP51" i="11" s="1"/>
  <c r="AP50" i="11" s="1"/>
  <c r="AQ45" i="11"/>
  <c r="AR45" i="11"/>
  <c r="AT45" i="11"/>
  <c r="AU45" i="11"/>
  <c r="AV45" i="11"/>
  <c r="AW45" i="11"/>
  <c r="AX45" i="11"/>
  <c r="AX55" i="11" s="1"/>
  <c r="AX51" i="11" s="1"/>
  <c r="AX50" i="11" s="1"/>
  <c r="AY45" i="11"/>
  <c r="AZ45" i="11"/>
  <c r="BB45" i="11"/>
  <c r="BC45" i="11"/>
  <c r="BE45" i="11"/>
  <c r="BF45" i="11"/>
  <c r="BG45" i="11"/>
  <c r="BG55" i="11" s="1"/>
  <c r="BG51" i="11" s="1"/>
  <c r="BG50" i="11" s="1"/>
  <c r="B46" i="11"/>
  <c r="C46" i="11"/>
  <c r="E46" i="11"/>
  <c r="F46" i="11"/>
  <c r="G46" i="11"/>
  <c r="H46" i="11"/>
  <c r="I46" i="11"/>
  <c r="J46" i="11"/>
  <c r="K46" i="11"/>
  <c r="M46" i="11"/>
  <c r="N46" i="11"/>
  <c r="O46" i="11"/>
  <c r="P46" i="11"/>
  <c r="Q46" i="11"/>
  <c r="R46" i="11"/>
  <c r="S46" i="11"/>
  <c r="U46" i="11"/>
  <c r="V46" i="11"/>
  <c r="W46" i="11"/>
  <c r="X46" i="11"/>
  <c r="Y46" i="11"/>
  <c r="Z46" i="11"/>
  <c r="AA46" i="11"/>
  <c r="AD46" i="11"/>
  <c r="AE46" i="11"/>
  <c r="AF46" i="11"/>
  <c r="AG46" i="11"/>
  <c r="AH46" i="11"/>
  <c r="AI46" i="11"/>
  <c r="AJ46" i="11"/>
  <c r="AL46" i="11"/>
  <c r="AM46" i="11"/>
  <c r="AN46" i="11"/>
  <c r="AO46" i="11"/>
  <c r="AP46" i="11"/>
  <c r="AQ46" i="11"/>
  <c r="AR46" i="11"/>
  <c r="AT46" i="11"/>
  <c r="AU46" i="11"/>
  <c r="AV46" i="11"/>
  <c r="AW46" i="11"/>
  <c r="AX46" i="11"/>
  <c r="AY46" i="11"/>
  <c r="AZ46" i="11"/>
  <c r="BB46" i="11"/>
  <c r="BC46" i="11"/>
  <c r="BE46" i="11"/>
  <c r="BF46" i="11"/>
  <c r="BG46" i="11"/>
  <c r="B47" i="11"/>
  <c r="B52" i="11" s="1"/>
  <c r="C47" i="11"/>
  <c r="E47" i="11"/>
  <c r="F47" i="11"/>
  <c r="G47" i="11"/>
  <c r="H47" i="11"/>
  <c r="I47" i="11"/>
  <c r="I52" i="11" s="1"/>
  <c r="J47" i="11"/>
  <c r="J52" i="11" s="1"/>
  <c r="K47" i="11"/>
  <c r="M47" i="11"/>
  <c r="N47" i="11"/>
  <c r="N52" i="11" s="1"/>
  <c r="O47" i="11"/>
  <c r="P47" i="11"/>
  <c r="P52" i="11" s="1"/>
  <c r="Q47" i="11"/>
  <c r="Q52" i="11" s="1"/>
  <c r="R47" i="11"/>
  <c r="R52" i="11" s="1"/>
  <c r="S47" i="11"/>
  <c r="U47" i="11"/>
  <c r="V47" i="11"/>
  <c r="W47" i="11"/>
  <c r="X47" i="11"/>
  <c r="Y47" i="11"/>
  <c r="Y52" i="11" s="1"/>
  <c r="Z47" i="11"/>
  <c r="Z52" i="11" s="1"/>
  <c r="AA47" i="11"/>
  <c r="AD47" i="11"/>
  <c r="AE47" i="11"/>
  <c r="AF47" i="11"/>
  <c r="AG47" i="11"/>
  <c r="AH47" i="11"/>
  <c r="AH52" i="11" s="1"/>
  <c r="AI47" i="11"/>
  <c r="AI52" i="11" s="1"/>
  <c r="AJ47" i="11"/>
  <c r="AL47" i="11"/>
  <c r="AM47" i="11"/>
  <c r="AN47" i="11"/>
  <c r="AO47" i="11"/>
  <c r="AP47" i="11"/>
  <c r="AP52" i="11" s="1"/>
  <c r="AQ47" i="11"/>
  <c r="AQ52" i="11" s="1"/>
  <c r="AR47" i="11"/>
  <c r="AT47" i="11"/>
  <c r="AU47" i="11"/>
  <c r="AV47" i="11"/>
  <c r="AW47" i="11"/>
  <c r="AX47" i="11"/>
  <c r="AX52" i="11" s="1"/>
  <c r="AY47" i="11"/>
  <c r="AY52" i="11" s="1"/>
  <c r="AZ47" i="11"/>
  <c r="BB47" i="11"/>
  <c r="BC47" i="11"/>
  <c r="BE47" i="11"/>
  <c r="BF47" i="11"/>
  <c r="BG47" i="11"/>
  <c r="BG52" i="11" s="1"/>
  <c r="B48" i="11"/>
  <c r="C48" i="11"/>
  <c r="E48" i="11"/>
  <c r="F48" i="11"/>
  <c r="G48" i="11"/>
  <c r="H48" i="11"/>
  <c r="I48" i="11"/>
  <c r="J48" i="11"/>
  <c r="K48" i="11"/>
  <c r="M48" i="11"/>
  <c r="N48" i="11"/>
  <c r="O48" i="11"/>
  <c r="P48" i="11"/>
  <c r="Q48" i="11"/>
  <c r="R48" i="11"/>
  <c r="S48" i="11"/>
  <c r="U48" i="11"/>
  <c r="V48" i="11"/>
  <c r="W48" i="11"/>
  <c r="X48" i="11"/>
  <c r="Y48" i="11"/>
  <c r="Z48" i="11"/>
  <c r="AA48" i="11"/>
  <c r="AD48" i="11"/>
  <c r="AE48" i="11"/>
  <c r="AF48" i="11"/>
  <c r="AG48" i="11"/>
  <c r="AH48" i="11"/>
  <c r="AI48" i="11"/>
  <c r="AJ48" i="11"/>
  <c r="AL48" i="11"/>
  <c r="AM48" i="11"/>
  <c r="AN48" i="11"/>
  <c r="AO48" i="11"/>
  <c r="AP48" i="11"/>
  <c r="AQ48" i="11"/>
  <c r="AR48" i="11"/>
  <c r="AT48" i="11"/>
  <c r="AU48" i="11"/>
  <c r="AV48" i="11"/>
  <c r="AW48" i="11"/>
  <c r="AX48" i="11"/>
  <c r="AY48" i="11"/>
  <c r="AZ48" i="11"/>
  <c r="BB48" i="11"/>
  <c r="BC48" i="11"/>
  <c r="BE48" i="11"/>
  <c r="BF48" i="11"/>
  <c r="BG48" i="11"/>
  <c r="B49" i="11"/>
  <c r="C49" i="11"/>
  <c r="E49" i="11"/>
  <c r="F49" i="11"/>
  <c r="F56" i="11" s="1"/>
  <c r="G49" i="11"/>
  <c r="H49" i="11"/>
  <c r="H56" i="11" s="1"/>
  <c r="I49" i="11"/>
  <c r="I56" i="11" s="1"/>
  <c r="J49" i="11"/>
  <c r="K49" i="11"/>
  <c r="M49" i="11"/>
  <c r="N49" i="11"/>
  <c r="N56" i="11" s="1"/>
  <c r="O49" i="11"/>
  <c r="P49" i="11"/>
  <c r="P56" i="11" s="1"/>
  <c r="Q49" i="11"/>
  <c r="Q56" i="11" s="1"/>
  <c r="R49" i="11"/>
  <c r="S49" i="11"/>
  <c r="U49" i="11"/>
  <c r="V49" i="11"/>
  <c r="V56" i="11" s="1"/>
  <c r="W49" i="11"/>
  <c r="X49" i="11"/>
  <c r="X56" i="11" s="1"/>
  <c r="Y49" i="11"/>
  <c r="Y56" i="11" s="1"/>
  <c r="Z49" i="11"/>
  <c r="AA49" i="11"/>
  <c r="AD49" i="11"/>
  <c r="AE49" i="11"/>
  <c r="AE56" i="11" s="1"/>
  <c r="AF49" i="11"/>
  <c r="AG49" i="11"/>
  <c r="AG56" i="11" s="1"/>
  <c r="AH49" i="11"/>
  <c r="AH56" i="11" s="1"/>
  <c r="AI49" i="11"/>
  <c r="AJ49" i="11"/>
  <c r="AL49" i="11"/>
  <c r="AM49" i="11"/>
  <c r="AM56" i="11" s="1"/>
  <c r="AN49" i="11"/>
  <c r="AO49" i="11"/>
  <c r="AO56" i="11" s="1"/>
  <c r="AP49" i="11"/>
  <c r="AP56" i="11" s="1"/>
  <c r="AQ49" i="11"/>
  <c r="AR49" i="11"/>
  <c r="AT49" i="11"/>
  <c r="AU49" i="11"/>
  <c r="AU56" i="11" s="1"/>
  <c r="AV49" i="11"/>
  <c r="AW49" i="11"/>
  <c r="AW56" i="11" s="1"/>
  <c r="AX49" i="11"/>
  <c r="AX56" i="11" s="1"/>
  <c r="AY49" i="11"/>
  <c r="AZ49" i="11"/>
  <c r="BB49" i="11"/>
  <c r="BC49" i="11"/>
  <c r="BC56" i="11" s="1"/>
  <c r="BE49" i="11"/>
  <c r="BF49" i="11"/>
  <c r="BF56" i="11" s="1"/>
  <c r="BG49" i="11"/>
  <c r="BG56" i="11" s="1"/>
  <c r="B55" i="11"/>
  <c r="C55" i="11"/>
  <c r="C52" i="11"/>
  <c r="C51" i="11"/>
  <c r="C50" i="11" s="1"/>
  <c r="E55" i="11"/>
  <c r="E52" i="11"/>
  <c r="E51" i="11"/>
  <c r="E50" i="11"/>
  <c r="F55" i="11"/>
  <c r="F52" i="11"/>
  <c r="F51" i="11"/>
  <c r="F50" i="11" s="1"/>
  <c r="F53" i="11" s="1"/>
  <c r="G55" i="11"/>
  <c r="G52" i="11"/>
  <c r="G51" i="11"/>
  <c r="G50" i="11"/>
  <c r="G53" i="11" s="1"/>
  <c r="G54" i="11" s="1"/>
  <c r="H55" i="11"/>
  <c r="H51" i="11" s="1"/>
  <c r="H50" i="11" s="1"/>
  <c r="H52" i="11"/>
  <c r="I55" i="11"/>
  <c r="I51" i="11" s="1"/>
  <c r="I50" i="11" s="1"/>
  <c r="J51" i="11"/>
  <c r="J50" i="11" s="1"/>
  <c r="J54" i="11" s="1"/>
  <c r="K55" i="11"/>
  <c r="K52" i="11"/>
  <c r="K51" i="11"/>
  <c r="K50" i="11" s="1"/>
  <c r="M55" i="11"/>
  <c r="M51" i="11" s="1"/>
  <c r="M50" i="11" s="1"/>
  <c r="M53" i="11" s="1"/>
  <c r="M52" i="11"/>
  <c r="O55" i="11"/>
  <c r="O52" i="11"/>
  <c r="O51" i="11"/>
  <c r="O50" i="11"/>
  <c r="O53" i="11" s="1"/>
  <c r="P55" i="11"/>
  <c r="P51" i="11" s="1"/>
  <c r="P50" i="11" s="1"/>
  <c r="Q50" i="11"/>
  <c r="S55" i="11"/>
  <c r="S52" i="11"/>
  <c r="S51" i="11" s="1"/>
  <c r="S50" i="11" s="1"/>
  <c r="T55" i="11"/>
  <c r="U55" i="11"/>
  <c r="U52" i="11"/>
  <c r="U51" i="11" s="1"/>
  <c r="U50" i="11" s="1"/>
  <c r="U53" i="11" s="1"/>
  <c r="V55" i="11"/>
  <c r="V51" i="11" s="1"/>
  <c r="V50" i="11" s="1"/>
  <c r="V52" i="11"/>
  <c r="W55" i="11"/>
  <c r="W52" i="11"/>
  <c r="W51" i="11" s="1"/>
  <c r="W50" i="11" s="1"/>
  <c r="X55" i="11"/>
  <c r="X51" i="11" s="1"/>
  <c r="X50" i="11" s="1"/>
  <c r="X52" i="11"/>
  <c r="Z55" i="11"/>
  <c r="AA55" i="11"/>
  <c r="AA52" i="11"/>
  <c r="AA51" i="11" s="1"/>
  <c r="AA50" i="11" s="1"/>
  <c r="AB55" i="11"/>
  <c r="AD55" i="11"/>
  <c r="AD52" i="11"/>
  <c r="AD51" i="11" s="1"/>
  <c r="AD50" i="11" s="1"/>
  <c r="AD53" i="11" s="1"/>
  <c r="AE55" i="11"/>
  <c r="AE51" i="11" s="1"/>
  <c r="AE50" i="11" s="1"/>
  <c r="AE52" i="11"/>
  <c r="AF55" i="11"/>
  <c r="AF52" i="11"/>
  <c r="AF51" i="11" s="1"/>
  <c r="AF50" i="11" s="1"/>
  <c r="AG55" i="11"/>
  <c r="AG51" i="11" s="1"/>
  <c r="AG50" i="11" s="1"/>
  <c r="AG52" i="11"/>
  <c r="AI55" i="11"/>
  <c r="AI51" i="11" s="1"/>
  <c r="AI50" i="11" s="1"/>
  <c r="AI54" i="11" s="1"/>
  <c r="AJ55" i="11"/>
  <c r="AJ52" i="11"/>
  <c r="AJ51" i="11" s="1"/>
  <c r="AJ50" i="11" s="1"/>
  <c r="AK55" i="11"/>
  <c r="AL55" i="11"/>
  <c r="AL52" i="11"/>
  <c r="AL51" i="11" s="1"/>
  <c r="AL50" i="11" s="1"/>
  <c r="AL53" i="11" s="1"/>
  <c r="AM55" i="11"/>
  <c r="AM51" i="11" s="1"/>
  <c r="AM50" i="11" s="1"/>
  <c r="AM52" i="11"/>
  <c r="AN55" i="11"/>
  <c r="AN52" i="11"/>
  <c r="AN51" i="11" s="1"/>
  <c r="AN50" i="11" s="1"/>
  <c r="AO55" i="11"/>
  <c r="AO51" i="11" s="1"/>
  <c r="AO50" i="11" s="1"/>
  <c r="AO52" i="11"/>
  <c r="AQ55" i="11"/>
  <c r="AQ51" i="11" s="1"/>
  <c r="AQ50" i="11" s="1"/>
  <c r="AQ53" i="11" s="1"/>
  <c r="AQ54" i="11" s="1"/>
  <c r="AR55" i="11"/>
  <c r="AR52" i="11"/>
  <c r="AR51" i="11" s="1"/>
  <c r="AR50" i="11" s="1"/>
  <c r="AS55" i="11"/>
  <c r="AT55" i="11"/>
  <c r="AT52" i="11"/>
  <c r="AT51" i="11" s="1"/>
  <c r="AT50" i="11" s="1"/>
  <c r="AT53" i="11" s="1"/>
  <c r="AU55" i="11"/>
  <c r="AU51" i="11" s="1"/>
  <c r="AU50" i="11" s="1"/>
  <c r="AU52" i="11"/>
  <c r="AV55" i="11"/>
  <c r="AV52" i="11"/>
  <c r="AV51" i="11" s="1"/>
  <c r="AV50" i="11" s="1"/>
  <c r="AW55" i="11"/>
  <c r="AW51" i="11" s="1"/>
  <c r="AW50" i="11" s="1"/>
  <c r="AW52" i="11"/>
  <c r="AY55" i="11"/>
  <c r="AY51" i="11" s="1"/>
  <c r="AY50" i="11" s="1"/>
  <c r="AY53" i="11" s="1"/>
  <c r="AY54" i="11" s="1"/>
  <c r="AZ55" i="11"/>
  <c r="AZ52" i="11"/>
  <c r="AZ51" i="11" s="1"/>
  <c r="AZ50" i="11" s="1"/>
  <c r="BA55" i="11"/>
  <c r="BB55" i="11"/>
  <c r="BB52" i="11"/>
  <c r="BB51" i="11" s="1"/>
  <c r="BB50" i="11" s="1"/>
  <c r="BB53" i="11" s="1"/>
  <c r="BC55" i="11"/>
  <c r="BC51" i="11" s="1"/>
  <c r="BC50" i="11" s="1"/>
  <c r="BC52" i="11"/>
  <c r="BE55" i="11"/>
  <c r="BE52" i="11"/>
  <c r="BE51" i="11" s="1"/>
  <c r="BE50" i="11" s="1"/>
  <c r="BF55" i="11"/>
  <c r="BF51" i="11" s="1"/>
  <c r="BF50" i="11" s="1"/>
  <c r="BF52" i="11"/>
  <c r="J53" i="11"/>
  <c r="AI53" i="11"/>
  <c r="M54" i="11"/>
  <c r="AD54" i="11"/>
  <c r="AT54" i="11"/>
  <c r="B56" i="11"/>
  <c r="C56" i="11"/>
  <c r="E56" i="11"/>
  <c r="G56" i="11"/>
  <c r="J56" i="11"/>
  <c r="K56" i="11"/>
  <c r="M56" i="11"/>
  <c r="O56" i="11"/>
  <c r="R56" i="11"/>
  <c r="S56" i="11"/>
  <c r="U56" i="11"/>
  <c r="W56" i="11"/>
  <c r="Z56" i="11"/>
  <c r="AA56" i="11"/>
  <c r="AD56" i="11"/>
  <c r="AF56" i="11"/>
  <c r="AI56" i="11"/>
  <c r="AJ56" i="11"/>
  <c r="AL56" i="11"/>
  <c r="AN56" i="11"/>
  <c r="AQ56" i="11"/>
  <c r="AR56" i="11"/>
  <c r="AT56" i="11"/>
  <c r="AV56" i="11"/>
  <c r="AY56" i="11"/>
  <c r="AZ56" i="11"/>
  <c r="BB56" i="11"/>
  <c r="BE56" i="1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G27" i="2" s="1"/>
  <c r="H15" i="2"/>
  <c r="H31" i="2" s="1"/>
  <c r="I15" i="2"/>
  <c r="J15" i="2"/>
  <c r="K15" i="2"/>
  <c r="L15" i="2"/>
  <c r="M15" i="2"/>
  <c r="N15" i="2"/>
  <c r="B16" i="2"/>
  <c r="B26" i="2" s="1"/>
  <c r="C16" i="2"/>
  <c r="C33" i="2" s="1"/>
  <c r="D16" i="2"/>
  <c r="E16" i="2"/>
  <c r="F16" i="2"/>
  <c r="G16" i="2"/>
  <c r="H16" i="2"/>
  <c r="I16" i="2"/>
  <c r="J16" i="2"/>
  <c r="J26" i="2" s="1"/>
  <c r="K16" i="2"/>
  <c r="K32" i="2" s="1"/>
  <c r="K37" i="2" s="1"/>
  <c r="L16" i="2"/>
  <c r="M16" i="2"/>
  <c r="N16" i="2"/>
  <c r="B17" i="2"/>
  <c r="C17" i="2"/>
  <c r="D17" i="2"/>
  <c r="E17" i="2"/>
  <c r="F17" i="2"/>
  <c r="F26" i="2" s="1"/>
  <c r="G17" i="2"/>
  <c r="H17" i="2"/>
  <c r="I17" i="2"/>
  <c r="J17" i="2"/>
  <c r="K17" i="2"/>
  <c r="L17" i="2"/>
  <c r="M17" i="2"/>
  <c r="N17" i="2"/>
  <c r="N26" i="2" s="1"/>
  <c r="B18" i="2"/>
  <c r="C18" i="2"/>
  <c r="D18" i="2"/>
  <c r="E18" i="2"/>
  <c r="F18" i="2"/>
  <c r="G18" i="2"/>
  <c r="H18" i="2"/>
  <c r="I18" i="2"/>
  <c r="I26" i="2" s="1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G28" i="2" s="1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B23" i="2"/>
  <c r="C23" i="2"/>
  <c r="D23" i="2"/>
  <c r="D29" i="2" s="1"/>
  <c r="E23" i="2"/>
  <c r="F23" i="2"/>
  <c r="G23" i="2"/>
  <c r="H23" i="2"/>
  <c r="I23" i="2"/>
  <c r="J23" i="2"/>
  <c r="K23" i="2"/>
  <c r="L23" i="2"/>
  <c r="L29" i="2" s="1"/>
  <c r="M23" i="2"/>
  <c r="N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7" i="2"/>
  <c r="C27" i="2"/>
  <c r="D27" i="2"/>
  <c r="F27" i="2"/>
  <c r="I27" i="2"/>
  <c r="J27" i="2"/>
  <c r="K27" i="2"/>
  <c r="L27" i="2"/>
  <c r="N27" i="2"/>
  <c r="D28" i="2"/>
  <c r="L28" i="2"/>
  <c r="B29" i="2"/>
  <c r="C29" i="2"/>
  <c r="F29" i="2"/>
  <c r="G29" i="2"/>
  <c r="I29" i="2"/>
  <c r="J29" i="2"/>
  <c r="K29" i="2"/>
  <c r="N29" i="2"/>
  <c r="B30" i="2"/>
  <c r="C30" i="2"/>
  <c r="D30" i="2"/>
  <c r="E30" i="2"/>
  <c r="F30" i="2"/>
  <c r="G30" i="2"/>
  <c r="H30" i="2"/>
  <c r="I30" i="2"/>
  <c r="J30" i="2"/>
  <c r="J37" i="2" s="1"/>
  <c r="J47" i="2" s="1"/>
  <c r="K30" i="2"/>
  <c r="L30" i="2"/>
  <c r="M30" i="2"/>
  <c r="N30" i="2"/>
  <c r="B31" i="2"/>
  <c r="D31" i="2"/>
  <c r="E31" i="2"/>
  <c r="F31" i="2"/>
  <c r="G31" i="2"/>
  <c r="I31" i="2"/>
  <c r="J31" i="2"/>
  <c r="L31" i="2"/>
  <c r="M31" i="2"/>
  <c r="N31" i="2"/>
  <c r="C32" i="2"/>
  <c r="C37" i="2" s="1"/>
  <c r="C51" i="2" s="1"/>
  <c r="K33" i="2"/>
  <c r="N33" i="2"/>
  <c r="B34" i="2"/>
  <c r="D34" i="2"/>
  <c r="G34" i="2"/>
  <c r="I34" i="2"/>
  <c r="L34" i="2"/>
  <c r="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J39" i="2"/>
  <c r="C42" i="2"/>
  <c r="J48" i="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B18" i="12"/>
  <c r="B30" i="12" s="1"/>
  <c r="B31" i="12" s="1"/>
  <c r="B32" i="12" s="1"/>
  <c r="C18" i="12"/>
  <c r="D18" i="12"/>
  <c r="E18" i="12"/>
  <c r="F18" i="12"/>
  <c r="G18" i="12"/>
  <c r="H18" i="12"/>
  <c r="I18" i="12"/>
  <c r="J18" i="12"/>
  <c r="J30" i="12" s="1"/>
  <c r="J31" i="12" s="1"/>
  <c r="J32" i="12" s="1"/>
  <c r="K18" i="12"/>
  <c r="L18" i="12"/>
  <c r="M18" i="12"/>
  <c r="N18" i="12"/>
  <c r="O18" i="12"/>
  <c r="P18" i="12"/>
  <c r="Q18" i="12"/>
  <c r="R18" i="12"/>
  <c r="R30" i="12" s="1"/>
  <c r="R31" i="12" s="1"/>
  <c r="R32" i="12" s="1"/>
  <c r="R37" i="12" s="1"/>
  <c r="S18" i="12"/>
  <c r="T18" i="12"/>
  <c r="U18" i="12"/>
  <c r="V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B20" i="12"/>
  <c r="C20" i="12"/>
  <c r="C33" i="12" s="1"/>
  <c r="D20" i="12"/>
  <c r="E20" i="12"/>
  <c r="F20" i="12"/>
  <c r="G20" i="12"/>
  <c r="H20" i="12"/>
  <c r="H33" i="12" s="1"/>
  <c r="I20" i="12"/>
  <c r="J20" i="12"/>
  <c r="K20" i="12"/>
  <c r="K33" i="12" s="1"/>
  <c r="L20" i="12"/>
  <c r="M20" i="12"/>
  <c r="N20" i="12"/>
  <c r="O20" i="12"/>
  <c r="P20" i="12"/>
  <c r="P33" i="12" s="1"/>
  <c r="Q20" i="12"/>
  <c r="R20" i="12"/>
  <c r="S20" i="12"/>
  <c r="S33" i="12" s="1"/>
  <c r="T20" i="12"/>
  <c r="U20" i="12"/>
  <c r="V20" i="12"/>
  <c r="B21" i="12"/>
  <c r="C21" i="12"/>
  <c r="C34" i="12" s="1"/>
  <c r="D21" i="12"/>
  <c r="E21" i="12"/>
  <c r="F21" i="12"/>
  <c r="F34" i="12" s="1"/>
  <c r="G21" i="12"/>
  <c r="H21" i="12"/>
  <c r="I21" i="12"/>
  <c r="J21" i="12"/>
  <c r="K21" i="12"/>
  <c r="K34" i="12" s="1"/>
  <c r="L21" i="12"/>
  <c r="M21" i="12"/>
  <c r="N21" i="12"/>
  <c r="N34" i="12" s="1"/>
  <c r="O21" i="12"/>
  <c r="P21" i="12"/>
  <c r="Q21" i="12"/>
  <c r="R21" i="12"/>
  <c r="S21" i="12"/>
  <c r="S34" i="12" s="1"/>
  <c r="T21" i="12"/>
  <c r="U21" i="12"/>
  <c r="V21" i="12"/>
  <c r="V34" i="12" s="1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B23" i="12"/>
  <c r="C23" i="12"/>
  <c r="D23" i="12"/>
  <c r="E23" i="12"/>
  <c r="F23" i="12"/>
  <c r="G23" i="12"/>
  <c r="H23" i="12"/>
  <c r="I23" i="12"/>
  <c r="I35" i="12" s="1"/>
  <c r="J23" i="12"/>
  <c r="K23" i="12"/>
  <c r="L23" i="12"/>
  <c r="L35" i="12" s="1"/>
  <c r="M23" i="12"/>
  <c r="N23" i="12"/>
  <c r="O23" i="12"/>
  <c r="P23" i="12"/>
  <c r="Q23" i="12"/>
  <c r="Q35" i="12" s="1"/>
  <c r="R23" i="12"/>
  <c r="S23" i="12"/>
  <c r="T23" i="12"/>
  <c r="T35" i="12" s="1"/>
  <c r="U23" i="12"/>
  <c r="V23" i="12"/>
  <c r="B24" i="12"/>
  <c r="C24" i="12"/>
  <c r="D24" i="12"/>
  <c r="E24" i="12"/>
  <c r="F24" i="12"/>
  <c r="G24" i="12"/>
  <c r="H24" i="12"/>
  <c r="I24" i="12"/>
  <c r="J24" i="12"/>
  <c r="K24" i="12"/>
  <c r="L24" i="12"/>
  <c r="L40" i="12" s="1"/>
  <c r="M24" i="12"/>
  <c r="N24" i="12"/>
  <c r="O24" i="12"/>
  <c r="P24" i="12"/>
  <c r="Q24" i="12"/>
  <c r="R24" i="12"/>
  <c r="S24" i="12"/>
  <c r="T24" i="12"/>
  <c r="U24" i="12"/>
  <c r="V24" i="12"/>
  <c r="B25" i="12"/>
  <c r="B38" i="12" s="1"/>
  <c r="B42" i="12" s="1"/>
  <c r="B51" i="12" s="1"/>
  <c r="C25" i="12"/>
  <c r="D25" i="12"/>
  <c r="E25" i="12"/>
  <c r="F25" i="12"/>
  <c r="G25" i="12"/>
  <c r="G38" i="12" s="1"/>
  <c r="H25" i="12"/>
  <c r="I25" i="12"/>
  <c r="J25" i="12"/>
  <c r="J38" i="12" s="1"/>
  <c r="K25" i="12"/>
  <c r="L25" i="12"/>
  <c r="M25" i="12"/>
  <c r="N25" i="12"/>
  <c r="O25" i="12"/>
  <c r="O38" i="12" s="1"/>
  <c r="O36" i="12" s="1"/>
  <c r="P25" i="12"/>
  <c r="Q25" i="12"/>
  <c r="R25" i="12"/>
  <c r="R38" i="12" s="1"/>
  <c r="S25" i="12"/>
  <c r="T25" i="12"/>
  <c r="U25" i="12"/>
  <c r="V25" i="12"/>
  <c r="B26" i="12"/>
  <c r="B41" i="12" s="1"/>
  <c r="C26" i="12"/>
  <c r="D26" i="12"/>
  <c r="E26" i="12"/>
  <c r="E41" i="12" s="1"/>
  <c r="F26" i="12"/>
  <c r="G26" i="12"/>
  <c r="H26" i="12"/>
  <c r="I26" i="12"/>
  <c r="J26" i="12"/>
  <c r="J41" i="12" s="1"/>
  <c r="K26" i="12"/>
  <c r="L26" i="12"/>
  <c r="M26" i="12"/>
  <c r="M41" i="12" s="1"/>
  <c r="N26" i="12"/>
  <c r="O26" i="12"/>
  <c r="P26" i="12"/>
  <c r="Q26" i="12"/>
  <c r="R26" i="12"/>
  <c r="R41" i="12" s="1"/>
  <c r="S26" i="12"/>
  <c r="T26" i="12"/>
  <c r="U26" i="12"/>
  <c r="V26" i="12"/>
  <c r="B27" i="12"/>
  <c r="C27" i="12"/>
  <c r="D27" i="12"/>
  <c r="E27" i="12"/>
  <c r="E43" i="12" s="1"/>
  <c r="E55" i="12" s="1"/>
  <c r="F27" i="12"/>
  <c r="G27" i="12"/>
  <c r="H27" i="12"/>
  <c r="H43" i="12" s="1"/>
  <c r="I27" i="12"/>
  <c r="J27" i="12"/>
  <c r="K27" i="12"/>
  <c r="L27" i="12"/>
  <c r="M27" i="12"/>
  <c r="N27" i="12"/>
  <c r="O27" i="12"/>
  <c r="P27" i="12"/>
  <c r="P43" i="12" s="1"/>
  <c r="Q27" i="12"/>
  <c r="R27" i="12"/>
  <c r="S27" i="12"/>
  <c r="T27" i="12"/>
  <c r="U27" i="12"/>
  <c r="U43" i="12" s="1"/>
  <c r="U55" i="12" s="1"/>
  <c r="V27" i="12"/>
  <c r="B28" i="12"/>
  <c r="B44" i="12" s="1"/>
  <c r="C28" i="12"/>
  <c r="C44" i="12" s="1"/>
  <c r="D28" i="12"/>
  <c r="E28" i="12"/>
  <c r="F28" i="12"/>
  <c r="G28" i="12"/>
  <c r="H28" i="12"/>
  <c r="H44" i="12" s="1"/>
  <c r="I28" i="12"/>
  <c r="J28" i="12"/>
  <c r="J44" i="12" s="1"/>
  <c r="K28" i="12"/>
  <c r="K44" i="12" s="1"/>
  <c r="L28" i="12"/>
  <c r="M28" i="12"/>
  <c r="N28" i="12"/>
  <c r="O28" i="12"/>
  <c r="P28" i="12"/>
  <c r="P44" i="12" s="1"/>
  <c r="Q28" i="12"/>
  <c r="R28" i="12"/>
  <c r="R44" i="12" s="1"/>
  <c r="S28" i="12"/>
  <c r="S44" i="12" s="1"/>
  <c r="T28" i="12"/>
  <c r="U28" i="12"/>
  <c r="V28" i="12"/>
  <c r="C30" i="12"/>
  <c r="C31" i="12" s="1"/>
  <c r="C32" i="12" s="1"/>
  <c r="D30" i="12"/>
  <c r="D31" i="12" s="1"/>
  <c r="D32" i="12" s="1"/>
  <c r="E30" i="12"/>
  <c r="F30" i="12"/>
  <c r="G30" i="12"/>
  <c r="H30" i="12"/>
  <c r="I30" i="12"/>
  <c r="K30" i="12"/>
  <c r="K31" i="12" s="1"/>
  <c r="L30" i="12"/>
  <c r="L31" i="12" s="1"/>
  <c r="M30" i="12"/>
  <c r="M31" i="12" s="1"/>
  <c r="N30" i="12"/>
  <c r="O30" i="12"/>
  <c r="P30" i="12"/>
  <c r="Q30" i="12"/>
  <c r="S30" i="12"/>
  <c r="S31" i="12" s="1"/>
  <c r="T30" i="12"/>
  <c r="T31" i="12" s="1"/>
  <c r="U30" i="12"/>
  <c r="U31" i="12" s="1"/>
  <c r="V30" i="12"/>
  <c r="V31" i="12" s="1"/>
  <c r="G31" i="12"/>
  <c r="G32" i="12" s="1"/>
  <c r="H31" i="12"/>
  <c r="I31" i="12"/>
  <c r="N31" i="12"/>
  <c r="N32" i="12" s="1"/>
  <c r="O31" i="12"/>
  <c r="O32" i="12" s="1"/>
  <c r="P31" i="12"/>
  <c r="Q31" i="12"/>
  <c r="Q32" i="12" s="1"/>
  <c r="I32" i="12"/>
  <c r="I48" i="12" s="1"/>
  <c r="L32" i="12"/>
  <c r="L37" i="12" s="1"/>
  <c r="L49" i="12" s="1"/>
  <c r="S32" i="12"/>
  <c r="S42" i="12" s="1"/>
  <c r="B33" i="12"/>
  <c r="D33" i="12"/>
  <c r="E33" i="12"/>
  <c r="F33" i="12"/>
  <c r="G33" i="12"/>
  <c r="I33" i="12"/>
  <c r="J33" i="12"/>
  <c r="L33" i="12"/>
  <c r="M33" i="12"/>
  <c r="N33" i="12"/>
  <c r="O33" i="12"/>
  <c r="Q33" i="12"/>
  <c r="R33" i="12"/>
  <c r="T33" i="12"/>
  <c r="U33" i="12"/>
  <c r="V33" i="12"/>
  <c r="B34" i="12"/>
  <c r="D34" i="12"/>
  <c r="E34" i="12"/>
  <c r="G34" i="12"/>
  <c r="H34" i="12"/>
  <c r="I34" i="12"/>
  <c r="J34" i="12"/>
  <c r="J42" i="12" s="1"/>
  <c r="J51" i="12" s="1"/>
  <c r="L34" i="12"/>
  <c r="M34" i="12"/>
  <c r="O34" i="12"/>
  <c r="P34" i="12"/>
  <c r="Q34" i="12"/>
  <c r="R34" i="12"/>
  <c r="R42" i="12" s="1"/>
  <c r="R51" i="12" s="1"/>
  <c r="T34" i="12"/>
  <c r="U34" i="12"/>
  <c r="B35" i="12"/>
  <c r="C35" i="12"/>
  <c r="D35" i="12"/>
  <c r="E35" i="12"/>
  <c r="F35" i="12"/>
  <c r="G35" i="12"/>
  <c r="H35" i="12"/>
  <c r="J35" i="12"/>
  <c r="K35" i="12"/>
  <c r="M35" i="12"/>
  <c r="N35" i="12"/>
  <c r="O35" i="12"/>
  <c r="P35" i="12"/>
  <c r="R35" i="12"/>
  <c r="S35" i="12"/>
  <c r="U35" i="12"/>
  <c r="V35" i="12"/>
  <c r="C38" i="12"/>
  <c r="D38" i="12"/>
  <c r="E38" i="12"/>
  <c r="F38" i="12"/>
  <c r="H38" i="12"/>
  <c r="I38" i="12"/>
  <c r="K38" i="12"/>
  <c r="L38" i="12"/>
  <c r="M38" i="12"/>
  <c r="N38" i="12"/>
  <c r="P38" i="12"/>
  <c r="Q38" i="12"/>
  <c r="S38" i="12"/>
  <c r="T38" i="12"/>
  <c r="U38" i="12"/>
  <c r="V38" i="12"/>
  <c r="B37" i="12"/>
  <c r="B40" i="12" s="1"/>
  <c r="C41" i="12"/>
  <c r="D41" i="12"/>
  <c r="F41" i="12"/>
  <c r="G41" i="12"/>
  <c r="H41" i="12"/>
  <c r="I41" i="12"/>
  <c r="K41" i="12"/>
  <c r="L41" i="12"/>
  <c r="N41" i="12"/>
  <c r="O41" i="12"/>
  <c r="P41" i="12"/>
  <c r="Q41" i="12"/>
  <c r="S41" i="12"/>
  <c r="T41" i="12"/>
  <c r="U41" i="12"/>
  <c r="V41" i="12"/>
  <c r="I42" i="12"/>
  <c r="I51" i="12" s="1"/>
  <c r="N42" i="12"/>
  <c r="N51" i="12" s="1"/>
  <c r="B43" i="12"/>
  <c r="B55" i="12" s="1"/>
  <c r="C43" i="12"/>
  <c r="C55" i="12" s="1"/>
  <c r="D43" i="12"/>
  <c r="D55" i="12" s="1"/>
  <c r="F43" i="12"/>
  <c r="G43" i="12"/>
  <c r="I43" i="12"/>
  <c r="J43" i="12"/>
  <c r="J55" i="12" s="1"/>
  <c r="K43" i="12"/>
  <c r="K55" i="12" s="1"/>
  <c r="L43" i="12"/>
  <c r="M43" i="12"/>
  <c r="M55" i="12" s="1"/>
  <c r="N43" i="12"/>
  <c r="O43" i="12"/>
  <c r="Q43" i="12"/>
  <c r="R43" i="12"/>
  <c r="R55" i="12" s="1"/>
  <c r="S43" i="12"/>
  <c r="T43" i="12"/>
  <c r="T55" i="12" s="1"/>
  <c r="V43" i="12"/>
  <c r="D44" i="12"/>
  <c r="E44" i="12"/>
  <c r="F44" i="12"/>
  <c r="G44" i="12"/>
  <c r="I44" i="12"/>
  <c r="L44" i="12"/>
  <c r="M44" i="12"/>
  <c r="M52" i="12" s="1"/>
  <c r="N44" i="12"/>
  <c r="O44" i="12"/>
  <c r="Q44" i="12"/>
  <c r="T44" i="12"/>
  <c r="U44" i="12"/>
  <c r="U52" i="12" s="1"/>
  <c r="V44" i="12"/>
  <c r="D47" i="12"/>
  <c r="E47" i="12"/>
  <c r="F47" i="12"/>
  <c r="G47" i="12"/>
  <c r="H47" i="12"/>
  <c r="I47" i="12"/>
  <c r="L47" i="12"/>
  <c r="N47" i="12"/>
  <c r="O47" i="12"/>
  <c r="P47" i="12"/>
  <c r="Q47" i="12"/>
  <c r="S47" i="12"/>
  <c r="T47" i="12"/>
  <c r="U47" i="12"/>
  <c r="B48" i="12"/>
  <c r="G48" i="12"/>
  <c r="J48" i="12"/>
  <c r="N48" i="12"/>
  <c r="R48" i="12"/>
  <c r="S51" i="12"/>
  <c r="B52" i="12"/>
  <c r="C52" i="12"/>
  <c r="D52" i="12"/>
  <c r="E52" i="12"/>
  <c r="F52" i="12"/>
  <c r="G52" i="12"/>
  <c r="I52" i="12"/>
  <c r="J52" i="12"/>
  <c r="K52" i="12"/>
  <c r="L52" i="12"/>
  <c r="N52" i="12"/>
  <c r="O52" i="12"/>
  <c r="Q52" i="12"/>
  <c r="R52" i="12"/>
  <c r="S52" i="12"/>
  <c r="T52" i="12"/>
  <c r="V52" i="12"/>
  <c r="F55" i="12"/>
  <c r="G55" i="12"/>
  <c r="H55" i="12"/>
  <c r="I55" i="12"/>
  <c r="L55" i="12"/>
  <c r="N55" i="12"/>
  <c r="O55" i="12"/>
  <c r="P55" i="12"/>
  <c r="Q55" i="12"/>
  <c r="S55" i="12"/>
  <c r="V55" i="12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BD47" i="14"/>
  <c r="BE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16" i="9"/>
  <c r="B18" i="9"/>
  <c r="B19" i="9"/>
  <c r="B20" i="9"/>
  <c r="B21" i="9"/>
  <c r="B22" i="9"/>
  <c r="B23" i="9"/>
  <c r="B24" i="9"/>
  <c r="B25" i="9"/>
  <c r="B26" i="9"/>
  <c r="B27" i="9"/>
  <c r="B28" i="9"/>
  <c r="D36" i="12" l="1"/>
  <c r="D48" i="12"/>
  <c r="D37" i="12"/>
  <c r="D49" i="12" s="1"/>
  <c r="Q36" i="12"/>
  <c r="Q37" i="12"/>
  <c r="Q42" i="12"/>
  <c r="Q51" i="12" s="1"/>
  <c r="Q48" i="12"/>
  <c r="C42" i="12"/>
  <c r="C51" i="12" s="1"/>
  <c r="C48" i="12"/>
  <c r="C37" i="12"/>
  <c r="C36" i="12"/>
  <c r="K45" i="2"/>
  <c r="K39" i="2"/>
  <c r="K47" i="2"/>
  <c r="K44" i="2"/>
  <c r="K46" i="2"/>
  <c r="K42" i="2"/>
  <c r="K51" i="2"/>
  <c r="K43" i="2"/>
  <c r="P52" i="12"/>
  <c r="R49" i="12"/>
  <c r="R53" i="12" s="1"/>
  <c r="R40" i="12"/>
  <c r="O39" i="12"/>
  <c r="O50" i="12"/>
  <c r="O54" i="12"/>
  <c r="J62" i="2"/>
  <c r="V32" i="12"/>
  <c r="H52" i="12"/>
  <c r="D40" i="12"/>
  <c r="AG53" i="11"/>
  <c r="AG54" i="11" s="1"/>
  <c r="AQ42" i="11"/>
  <c r="AQ43" i="11"/>
  <c r="V47" i="12"/>
  <c r="V42" i="12"/>
  <c r="V51" i="12" s="1"/>
  <c r="J37" i="12"/>
  <c r="K32" i="12"/>
  <c r="N36" i="12"/>
  <c r="AV53" i="11"/>
  <c r="AV54" i="11"/>
  <c r="AF53" i="11"/>
  <c r="AF54" i="11" s="1"/>
  <c r="H42" i="11"/>
  <c r="AX42" i="11"/>
  <c r="AX43" i="11"/>
  <c r="AP42" i="11"/>
  <c r="AP43" i="11"/>
  <c r="Y43" i="11"/>
  <c r="Y42" i="11"/>
  <c r="Q43" i="11"/>
  <c r="Q42" i="11"/>
  <c r="I42" i="11"/>
  <c r="I43" i="11"/>
  <c r="O37" i="12"/>
  <c r="O49" i="12" s="1"/>
  <c r="AR53" i="11"/>
  <c r="AR54" i="11" s="1"/>
  <c r="AK43" i="11"/>
  <c r="Z43" i="11"/>
  <c r="Z42" i="11"/>
  <c r="M47" i="12"/>
  <c r="G42" i="12"/>
  <c r="G51" i="12" s="1"/>
  <c r="I36" i="12"/>
  <c r="I37" i="12"/>
  <c r="K49" i="2"/>
  <c r="K58" i="2" s="1"/>
  <c r="C49" i="2"/>
  <c r="C58" i="2" s="1"/>
  <c r="M29" i="2"/>
  <c r="E29" i="2"/>
  <c r="J46" i="2"/>
  <c r="K41" i="2"/>
  <c r="C41" i="2"/>
  <c r="C65" i="2" s="1"/>
  <c r="M28" i="2"/>
  <c r="M33" i="2"/>
  <c r="M27" i="2"/>
  <c r="M32" i="2"/>
  <c r="M26" i="2"/>
  <c r="M34" i="2"/>
  <c r="E28" i="2"/>
  <c r="E33" i="2"/>
  <c r="E27" i="2"/>
  <c r="E32" i="2"/>
  <c r="E39" i="2"/>
  <c r="E26" i="2"/>
  <c r="E34" i="2"/>
  <c r="Z51" i="11"/>
  <c r="Z50" i="11" s="1"/>
  <c r="I53" i="11"/>
  <c r="I54" i="11"/>
  <c r="R51" i="11"/>
  <c r="R50" i="11" s="1"/>
  <c r="D31" i="11"/>
  <c r="D38" i="11"/>
  <c r="AA29" i="11"/>
  <c r="AA38" i="11" s="1"/>
  <c r="AA33" i="11"/>
  <c r="AA40" i="11" s="1"/>
  <c r="N30" i="11"/>
  <c r="N39" i="11"/>
  <c r="N43" i="11" s="1"/>
  <c r="H30" i="11"/>
  <c r="H39" i="11"/>
  <c r="H43" i="11" s="1"/>
  <c r="AP26" i="10"/>
  <c r="AP39" i="10" s="1"/>
  <c r="AW26" i="10"/>
  <c r="AW39" i="10" s="1"/>
  <c r="AW53" i="11"/>
  <c r="AW54" i="11" s="1"/>
  <c r="BG53" i="11"/>
  <c r="BG54" i="11"/>
  <c r="AI43" i="11"/>
  <c r="AI42" i="11"/>
  <c r="B49" i="12"/>
  <c r="B53" i="12" s="1"/>
  <c r="O48" i="12"/>
  <c r="S37" i="12"/>
  <c r="S36" i="12"/>
  <c r="G36" i="12"/>
  <c r="O40" i="12"/>
  <c r="O57" i="12" s="1"/>
  <c r="P32" i="12"/>
  <c r="H32" i="12"/>
  <c r="F33" i="2"/>
  <c r="AL54" i="11"/>
  <c r="B51" i="11"/>
  <c r="B50" i="11" s="1"/>
  <c r="V53" i="11"/>
  <c r="V54" i="11"/>
  <c r="D42" i="11"/>
  <c r="B43" i="11"/>
  <c r="B42" i="11"/>
  <c r="K47" i="12"/>
  <c r="C47" i="12"/>
  <c r="L36" i="12"/>
  <c r="G37" i="12"/>
  <c r="G49" i="12" s="1"/>
  <c r="C43" i="2"/>
  <c r="C52" i="2" s="1"/>
  <c r="J40" i="2"/>
  <c r="J57" i="2" s="1"/>
  <c r="M37" i="2"/>
  <c r="M47" i="2" s="1"/>
  <c r="E37" i="2"/>
  <c r="E47" i="2" s="1"/>
  <c r="BF53" i="11"/>
  <c r="BF54" i="11" s="1"/>
  <c r="AZ53" i="11"/>
  <c r="AZ54" i="11" s="1"/>
  <c r="AU53" i="11"/>
  <c r="AU54" i="11"/>
  <c r="AO53" i="11"/>
  <c r="AO54" i="11" s="1"/>
  <c r="AJ53" i="11"/>
  <c r="AJ54" i="11" s="1"/>
  <c r="AE53" i="11"/>
  <c r="AE54" i="11" s="1"/>
  <c r="X53" i="11"/>
  <c r="X54" i="11"/>
  <c r="S53" i="11"/>
  <c r="S54" i="11" s="1"/>
  <c r="H53" i="11"/>
  <c r="H54" i="11" s="1"/>
  <c r="E53" i="11"/>
  <c r="E54" i="11" s="1"/>
  <c r="Y51" i="11"/>
  <c r="Y50" i="11" s="1"/>
  <c r="I37" i="2"/>
  <c r="BC53" i="11"/>
  <c r="BC54" i="11"/>
  <c r="C53" i="11"/>
  <c r="C54" i="11" s="1"/>
  <c r="R47" i="12"/>
  <c r="J47" i="12"/>
  <c r="B47" i="12"/>
  <c r="O45" i="12"/>
  <c r="O42" i="12"/>
  <c r="O51" i="12" s="1"/>
  <c r="O53" i="12" s="1"/>
  <c r="N37" i="12"/>
  <c r="T32" i="12"/>
  <c r="F31" i="12"/>
  <c r="E31" i="12"/>
  <c r="BE53" i="11"/>
  <c r="BE54" i="11" s="1"/>
  <c r="AN53" i="11"/>
  <c r="AN54" i="11"/>
  <c r="W53" i="11"/>
  <c r="W54" i="11" s="1"/>
  <c r="AH51" i="11"/>
  <c r="AH50" i="11" s="1"/>
  <c r="R42" i="11"/>
  <c r="AO42" i="11"/>
  <c r="AO43" i="11"/>
  <c r="AM53" i="11"/>
  <c r="AM54" i="11"/>
  <c r="AY42" i="11"/>
  <c r="AY43" i="11"/>
  <c r="J42" i="11"/>
  <c r="J43" i="11"/>
  <c r="L48" i="12"/>
  <c r="T42" i="12"/>
  <c r="T51" i="12" s="1"/>
  <c r="L42" i="12"/>
  <c r="L51" i="12" s="1"/>
  <c r="L53" i="12" s="1"/>
  <c r="D42" i="12"/>
  <c r="D51" i="12" s="1"/>
  <c r="U32" i="12"/>
  <c r="M32" i="12"/>
  <c r="E32" i="12"/>
  <c r="R36" i="12"/>
  <c r="J36" i="12"/>
  <c r="B36" i="12"/>
  <c r="F34" i="2"/>
  <c r="H32" i="2"/>
  <c r="H37" i="2" s="1"/>
  <c r="Q53" i="11"/>
  <c r="Q54" i="11" s="1"/>
  <c r="K53" i="11"/>
  <c r="K54" i="11" s="1"/>
  <c r="AP53" i="11"/>
  <c r="AP54" i="11"/>
  <c r="N53" i="11"/>
  <c r="N54" i="11" s="1"/>
  <c r="AA53" i="11"/>
  <c r="AA54" i="11"/>
  <c r="S48" i="12"/>
  <c r="J55" i="2"/>
  <c r="J56" i="2"/>
  <c r="C45" i="2"/>
  <c r="C39" i="2"/>
  <c r="C47" i="2"/>
  <c r="C44" i="2"/>
  <c r="C46" i="2"/>
  <c r="J42" i="2"/>
  <c r="J51" i="2"/>
  <c r="J44" i="2"/>
  <c r="J41" i="2"/>
  <c r="J49" i="2"/>
  <c r="J58" i="2" s="1"/>
  <c r="J43" i="2"/>
  <c r="F49" i="2"/>
  <c r="F58" i="2" s="1"/>
  <c r="K48" i="2"/>
  <c r="C48" i="2"/>
  <c r="H29" i="2"/>
  <c r="H47" i="2"/>
  <c r="M46" i="2"/>
  <c r="E46" i="2"/>
  <c r="J45" i="2"/>
  <c r="J32" i="2"/>
  <c r="J33" i="2"/>
  <c r="B32" i="2"/>
  <c r="B37" i="2" s="1"/>
  <c r="B33" i="2"/>
  <c r="G26" i="2"/>
  <c r="G33" i="2"/>
  <c r="G32" i="2"/>
  <c r="G37" i="2" s="1"/>
  <c r="L33" i="2"/>
  <c r="L37" i="2" s="1"/>
  <c r="L44" i="2" s="1"/>
  <c r="L43" i="2"/>
  <c r="L32" i="2"/>
  <c r="L26" i="2"/>
  <c r="D33" i="2"/>
  <c r="D43" i="2"/>
  <c r="D32" i="2"/>
  <c r="D37" i="2" s="1"/>
  <c r="D26" i="2"/>
  <c r="I32" i="2"/>
  <c r="I28" i="2"/>
  <c r="I33" i="2"/>
  <c r="N28" i="2"/>
  <c r="N32" i="2"/>
  <c r="N37" i="2" s="1"/>
  <c r="F41" i="2"/>
  <c r="F28" i="2"/>
  <c r="F32" i="2"/>
  <c r="F37" i="2" s="1"/>
  <c r="F42" i="2" s="1"/>
  <c r="K40" i="2"/>
  <c r="K57" i="2" s="1"/>
  <c r="K26" i="2"/>
  <c r="K34" i="2"/>
  <c r="K31" i="2"/>
  <c r="K28" i="2"/>
  <c r="C40" i="2"/>
  <c r="C57" i="2" s="1"/>
  <c r="C26" i="2"/>
  <c r="C34" i="2"/>
  <c r="C31" i="2"/>
  <c r="C28" i="2"/>
  <c r="H39" i="2"/>
  <c r="H26" i="2"/>
  <c r="H34" i="2"/>
  <c r="H28" i="2"/>
  <c r="H33" i="2"/>
  <c r="H27" i="2"/>
  <c r="BB54" i="11"/>
  <c r="U54" i="11"/>
  <c r="P53" i="11"/>
  <c r="P54" i="11"/>
  <c r="AX53" i="11"/>
  <c r="AX54" i="11" s="1"/>
  <c r="AH43" i="11"/>
  <c r="AK56" i="11"/>
  <c r="L31" i="11"/>
  <c r="L38" i="11"/>
  <c r="AC33" i="10"/>
  <c r="AC35" i="10"/>
  <c r="AC36" i="10"/>
  <c r="AC38" i="10"/>
  <c r="AC39" i="10"/>
  <c r="AC40" i="10" s="1"/>
  <c r="AN27" i="11"/>
  <c r="AN29" i="11"/>
  <c r="AN38" i="11" s="1"/>
  <c r="AN33" i="11"/>
  <c r="AN40" i="11" s="1"/>
  <c r="G27" i="11"/>
  <c r="G29" i="11"/>
  <c r="G38" i="11" s="1"/>
  <c r="G33" i="11"/>
  <c r="G40" i="11" s="1"/>
  <c r="R26" i="10"/>
  <c r="R39" i="10" s="1"/>
  <c r="I26" i="10"/>
  <c r="I39" i="10"/>
  <c r="T20" i="8"/>
  <c r="T21" i="8" s="1"/>
  <c r="T22" i="8"/>
  <c r="T38" i="8" s="1"/>
  <c r="T24" i="8"/>
  <c r="T28" i="8"/>
  <c r="T30" i="8"/>
  <c r="T32" i="8"/>
  <c r="T23" i="8"/>
  <c r="T27" i="8"/>
  <c r="T29" i="8"/>
  <c r="T31" i="8"/>
  <c r="J28" i="2"/>
  <c r="B28" i="2"/>
  <c r="BA33" i="11"/>
  <c r="BA40" i="11" s="1"/>
  <c r="T33" i="11"/>
  <c r="T40" i="11" s="1"/>
  <c r="AS29" i="11"/>
  <c r="AB29" i="11"/>
  <c r="AZ29" i="11"/>
  <c r="AZ38" i="11" s="1"/>
  <c r="AZ33" i="11"/>
  <c r="AZ40" i="11" s="1"/>
  <c r="S29" i="11"/>
  <c r="S38" i="11" s="1"/>
  <c r="S33" i="11"/>
  <c r="S40" i="11" s="1"/>
  <c r="F30" i="11"/>
  <c r="F39" i="11"/>
  <c r="F43" i="11" s="1"/>
  <c r="AI35" i="10"/>
  <c r="AI36" i="10"/>
  <c r="AI38" i="10"/>
  <c r="AI39" i="10"/>
  <c r="BN39" i="10"/>
  <c r="BN26" i="10"/>
  <c r="AG26" i="10"/>
  <c r="AG39" i="10"/>
  <c r="AX39" i="10"/>
  <c r="AX26" i="10"/>
  <c r="P25" i="8"/>
  <c r="P38" i="8"/>
  <c r="L26" i="8"/>
  <c r="L34" i="8" s="1"/>
  <c r="L37" i="8"/>
  <c r="O54" i="11"/>
  <c r="BA47" i="11"/>
  <c r="BA52" i="11" s="1"/>
  <c r="BA51" i="11" s="1"/>
  <c r="BA50" i="11" s="1"/>
  <c r="AK47" i="11"/>
  <c r="AK52" i="11" s="1"/>
  <c r="AK51" i="11" s="1"/>
  <c r="AK50" i="11" s="1"/>
  <c r="AB47" i="11"/>
  <c r="AB52" i="11" s="1"/>
  <c r="AB51" i="11" s="1"/>
  <c r="AB50" i="11" s="1"/>
  <c r="T47" i="11"/>
  <c r="T52" i="11" s="1"/>
  <c r="T51" i="11" s="1"/>
  <c r="T50" i="11" s="1"/>
  <c r="D47" i="11"/>
  <c r="D52" i="11" s="1"/>
  <c r="D51" i="11" s="1"/>
  <c r="D50" i="11" s="1"/>
  <c r="BA46" i="11"/>
  <c r="BA56" i="11" s="1"/>
  <c r="AS46" i="11"/>
  <c r="AS51" i="11" s="1"/>
  <c r="AS50" i="11" s="1"/>
  <c r="AK46" i="11"/>
  <c r="AB46" i="11"/>
  <c r="AB56" i="11" s="1"/>
  <c r="T46" i="11"/>
  <c r="T56" i="11" s="1"/>
  <c r="L46" i="11"/>
  <c r="L56" i="11" s="1"/>
  <c r="D46" i="11"/>
  <c r="D56" i="11" s="1"/>
  <c r="L37" i="11"/>
  <c r="L42" i="11" s="1"/>
  <c r="D30" i="11"/>
  <c r="AF27" i="11"/>
  <c r="AF29" i="11"/>
  <c r="AF38" i="11" s="1"/>
  <c r="AF31" i="11"/>
  <c r="AF33" i="11"/>
  <c r="AF40" i="11" s="1"/>
  <c r="J34" i="2"/>
  <c r="F54" i="11"/>
  <c r="AR29" i="11"/>
  <c r="AR38" i="11" s="1"/>
  <c r="AR33" i="11"/>
  <c r="AR40" i="11" s="1"/>
  <c r="AE31" i="11"/>
  <c r="AE38" i="11"/>
  <c r="AE42" i="11" s="1"/>
  <c r="K29" i="11"/>
  <c r="K38" i="11" s="1"/>
  <c r="K33" i="11"/>
  <c r="K40" i="11" s="1"/>
  <c r="E31" i="11"/>
  <c r="E38" i="11"/>
  <c r="E42" i="11" s="1"/>
  <c r="C35" i="10"/>
  <c r="C36" i="10"/>
  <c r="C38" i="10"/>
  <c r="C39" i="10"/>
  <c r="C40" i="10" s="1"/>
  <c r="BM26" i="10"/>
  <c r="BM39" i="10"/>
  <c r="BE27" i="11"/>
  <c r="BE29" i="11"/>
  <c r="BE38" i="11" s="1"/>
  <c r="BE31" i="11"/>
  <c r="BE33" i="11"/>
  <c r="BE40" i="11" s="1"/>
  <c r="W27" i="11"/>
  <c r="W29" i="11"/>
  <c r="W38" i="11" s="1"/>
  <c r="W33" i="11"/>
  <c r="W40" i="11" s="1"/>
  <c r="BA27" i="11"/>
  <c r="BA39" i="11" s="1"/>
  <c r="AS27" i="11"/>
  <c r="AS39" i="11" s="1"/>
  <c r="AS43" i="11" s="1"/>
  <c r="AK27" i="11"/>
  <c r="AK39" i="11" s="1"/>
  <c r="AB27" i="11"/>
  <c r="T27" i="11"/>
  <c r="T39" i="11" s="1"/>
  <c r="L27" i="11"/>
  <c r="L39" i="11" s="1"/>
  <c r="D27" i="11"/>
  <c r="D39" i="11" s="1"/>
  <c r="D43" i="11" s="1"/>
  <c r="AC34" i="10"/>
  <c r="BG35" i="10"/>
  <c r="BG36" i="10"/>
  <c r="BG38" i="10"/>
  <c r="BG39" i="10"/>
  <c r="BG40" i="10" s="1"/>
  <c r="S26" i="10"/>
  <c r="S39" i="10"/>
  <c r="AA39" i="10"/>
  <c r="AA26" i="10"/>
  <c r="D26" i="8"/>
  <c r="D34" i="8" s="1"/>
  <c r="D37" i="8"/>
  <c r="BA29" i="11"/>
  <c r="AK29" i="11"/>
  <c r="T29" i="11"/>
  <c r="AJ29" i="11"/>
  <c r="AJ38" i="11" s="1"/>
  <c r="AJ33" i="11"/>
  <c r="AJ40" i="11" s="1"/>
  <c r="V31" i="11"/>
  <c r="V38" i="11"/>
  <c r="V42" i="11" s="1"/>
  <c r="C29" i="11"/>
  <c r="C38" i="11" s="1"/>
  <c r="C33" i="11"/>
  <c r="C40" i="11" s="1"/>
  <c r="AZ27" i="11"/>
  <c r="AR30" i="11"/>
  <c r="AR39" i="11"/>
  <c r="AJ27" i="11"/>
  <c r="AA27" i="11"/>
  <c r="S27" i="11"/>
  <c r="K30" i="11"/>
  <c r="K39" i="11"/>
  <c r="C27" i="11"/>
  <c r="S34" i="10"/>
  <c r="AG36" i="10"/>
  <c r="BF35" i="10"/>
  <c r="BF36" i="10"/>
  <c r="BF38" i="10"/>
  <c r="BF39" i="10"/>
  <c r="BF40" i="10" s="1"/>
  <c r="BF33" i="10"/>
  <c r="AV27" i="11"/>
  <c r="AV29" i="11"/>
  <c r="AV38" i="11" s="1"/>
  <c r="AV33" i="11"/>
  <c r="AV40" i="11" s="1"/>
  <c r="O27" i="11"/>
  <c r="O29" i="11"/>
  <c r="O38" i="11" s="1"/>
  <c r="O31" i="11"/>
  <c r="O33" i="11"/>
  <c r="O40" i="11" s="1"/>
  <c r="AA34" i="10"/>
  <c r="BM36" i="10"/>
  <c r="AQ26" i="10"/>
  <c r="AQ39" i="10"/>
  <c r="B26" i="10"/>
  <c r="B36" i="10" s="1"/>
  <c r="AY39" i="10"/>
  <c r="AY26" i="10"/>
  <c r="Y25" i="10"/>
  <c r="U26" i="10"/>
  <c r="U39" i="10" s="1"/>
  <c r="E21" i="7"/>
  <c r="E29" i="7"/>
  <c r="E26" i="7"/>
  <c r="E27" i="7"/>
  <c r="BC27" i="11"/>
  <c r="AU27" i="11"/>
  <c r="AM27" i="11"/>
  <c r="AE27" i="11"/>
  <c r="V27" i="11"/>
  <c r="BJ29" i="10"/>
  <c r="BJ23" i="10"/>
  <c r="BJ24" i="10"/>
  <c r="AD20" i="10"/>
  <c r="AD21" i="10" s="1"/>
  <c r="AD29" i="10"/>
  <c r="AD22" i="10"/>
  <c r="AD25" i="10" s="1"/>
  <c r="AD23" i="10"/>
  <c r="AD24" i="10"/>
  <c r="T22" i="10"/>
  <c r="N26" i="8"/>
  <c r="N34" i="8" s="1"/>
  <c r="N37" i="8"/>
  <c r="S38" i="8"/>
  <c r="Q25" i="10"/>
  <c r="BL27" i="10"/>
  <c r="BL20" i="10"/>
  <c r="BL21" i="10" s="1"/>
  <c r="BL22" i="10" s="1"/>
  <c r="BL25" i="10" s="1"/>
  <c r="BD27" i="10"/>
  <c r="BD20" i="10"/>
  <c r="BD21" i="10" s="1"/>
  <c r="BD22" i="10" s="1"/>
  <c r="BD25" i="10" s="1"/>
  <c r="AV27" i="10"/>
  <c r="AV20" i="10"/>
  <c r="AV21" i="10" s="1"/>
  <c r="AV22" i="10" s="1"/>
  <c r="AV25" i="10" s="1"/>
  <c r="AN27" i="10"/>
  <c r="AN20" i="10"/>
  <c r="AN21" i="10" s="1"/>
  <c r="AN22" i="10" s="1"/>
  <c r="AN25" i="10" s="1"/>
  <c r="AF27" i="10"/>
  <c r="AF20" i="10"/>
  <c r="AF21" i="10" s="1"/>
  <c r="AF22" i="10" s="1"/>
  <c r="AF25" i="10" s="1"/>
  <c r="X27" i="10"/>
  <c r="X20" i="10"/>
  <c r="X21" i="10" s="1"/>
  <c r="X22" i="10" s="1"/>
  <c r="X25" i="10" s="1"/>
  <c r="P27" i="10"/>
  <c r="P20" i="10"/>
  <c r="P21" i="10" s="1"/>
  <c r="P22" i="10" s="1"/>
  <c r="P25" i="10" s="1"/>
  <c r="H27" i="10"/>
  <c r="H20" i="10"/>
  <c r="H21" i="10" s="1"/>
  <c r="H22" i="10" s="1"/>
  <c r="H25" i="10" s="1"/>
  <c r="H25" i="8"/>
  <c r="H38" i="8"/>
  <c r="J25" i="8"/>
  <c r="J38" i="8"/>
  <c r="BE25" i="10"/>
  <c r="AH25" i="10"/>
  <c r="BH22" i="10"/>
  <c r="AL20" i="10"/>
  <c r="AL21" i="10" s="1"/>
  <c r="AL29" i="10"/>
  <c r="AL22" i="10"/>
  <c r="AL25" i="10" s="1"/>
  <c r="AL23" i="10"/>
  <c r="AL24" i="10"/>
  <c r="F20" i="10"/>
  <c r="F21" i="10" s="1"/>
  <c r="F29" i="10"/>
  <c r="F22" i="10"/>
  <c r="F23" i="10"/>
  <c r="F24" i="10"/>
  <c r="BK18" i="10"/>
  <c r="BK20" i="10" s="1"/>
  <c r="BK21" i="10" s="1"/>
  <c r="BK23" i="10"/>
  <c r="BC18" i="10"/>
  <c r="BC27" i="10" s="1"/>
  <c r="BC28" i="10"/>
  <c r="AU18" i="10"/>
  <c r="AU27" i="10"/>
  <c r="AU20" i="10"/>
  <c r="AU21" i="10" s="1"/>
  <c r="AU22" i="10" s="1"/>
  <c r="AU23" i="10"/>
  <c r="AM18" i="10"/>
  <c r="AM27" i="10"/>
  <c r="AM20" i="10"/>
  <c r="AM21" i="10" s="1"/>
  <c r="AM28" i="10"/>
  <c r="AM22" i="10"/>
  <c r="AE18" i="10"/>
  <c r="AE20" i="10" s="1"/>
  <c r="AE21" i="10" s="1"/>
  <c r="AE27" i="10"/>
  <c r="AE23" i="10"/>
  <c r="W18" i="10"/>
  <c r="W27" i="10" s="1"/>
  <c r="W28" i="10"/>
  <c r="O18" i="10"/>
  <c r="O27" i="10"/>
  <c r="O20" i="10"/>
  <c r="O21" i="10" s="1"/>
  <c r="O22" i="10" s="1"/>
  <c r="O23" i="10"/>
  <c r="G18" i="10"/>
  <c r="G27" i="10"/>
  <c r="G20" i="10"/>
  <c r="G21" i="10" s="1"/>
  <c r="G28" i="10"/>
  <c r="G22" i="10"/>
  <c r="C25" i="8"/>
  <c r="C38" i="8"/>
  <c r="AL27" i="10"/>
  <c r="J25" i="10"/>
  <c r="E22" i="10"/>
  <c r="E25" i="10" s="1"/>
  <c r="BJ20" i="10"/>
  <c r="BJ21" i="10" s="1"/>
  <c r="BJ22" i="10" s="1"/>
  <c r="BJ25" i="10" s="1"/>
  <c r="L38" i="8"/>
  <c r="B25" i="8"/>
  <c r="B38" i="8"/>
  <c r="Z38" i="10"/>
  <c r="Z40" i="10" s="1"/>
  <c r="AD28" i="10"/>
  <c r="X24" i="10"/>
  <c r="O24" i="10"/>
  <c r="AT20" i="10"/>
  <c r="AT21" i="10" s="1"/>
  <c r="AT22" i="10" s="1"/>
  <c r="AT25" i="10" s="1"/>
  <c r="AT29" i="10"/>
  <c r="AT23" i="10"/>
  <c r="AT24" i="10"/>
  <c r="AJ22" i="10"/>
  <c r="AJ25" i="10" s="1"/>
  <c r="N20" i="10"/>
  <c r="N21" i="10" s="1"/>
  <c r="N29" i="10"/>
  <c r="N22" i="10"/>
  <c r="N25" i="10" s="1"/>
  <c r="N23" i="10"/>
  <c r="N24" i="10"/>
  <c r="D22" i="10"/>
  <c r="BI22" i="10"/>
  <c r="BI25" i="10" s="1"/>
  <c r="BA22" i="10"/>
  <c r="AS22" i="10"/>
  <c r="AS25" i="10" s="1"/>
  <c r="AK22" i="10"/>
  <c r="AK25" i="10" s="1"/>
  <c r="D38" i="8"/>
  <c r="F25" i="8"/>
  <c r="F38" i="8"/>
  <c r="BC31" i="11"/>
  <c r="AU31" i="11"/>
  <c r="AM31" i="11"/>
  <c r="M22" i="10"/>
  <c r="M25" i="10" s="1"/>
  <c r="BB31" i="11"/>
  <c r="AT31" i="11"/>
  <c r="AL31" i="11"/>
  <c r="AD31" i="11"/>
  <c r="U31" i="11"/>
  <c r="M31" i="11"/>
  <c r="BL29" i="10"/>
  <c r="BD28" i="10"/>
  <c r="F25" i="10"/>
  <c r="AN24" i="10"/>
  <c r="AE24" i="10"/>
  <c r="BD23" i="10"/>
  <c r="AN23" i="10"/>
  <c r="BB20" i="10"/>
  <c r="BB21" i="10" s="1"/>
  <c r="BB22" i="10" s="1"/>
  <c r="BB25" i="10" s="1"/>
  <c r="BB29" i="10"/>
  <c r="BB23" i="10"/>
  <c r="BB24" i="10"/>
  <c r="AR22" i="10"/>
  <c r="AR25" i="10" s="1"/>
  <c r="V20" i="10"/>
  <c r="V21" i="10" s="1"/>
  <c r="V22" i="10" s="1"/>
  <c r="V25" i="10" s="1"/>
  <c r="V29" i="10"/>
  <c r="V23" i="10"/>
  <c r="V24" i="10"/>
  <c r="L22" i="10"/>
  <c r="Q26" i="8"/>
  <c r="Q34" i="8" s="1"/>
  <c r="Q35" i="8"/>
  <c r="Q36" i="8" s="1"/>
  <c r="Q37" i="8"/>
  <c r="K22" i="8"/>
  <c r="E22" i="8"/>
  <c r="J143" i="5"/>
  <c r="F27" i="7"/>
  <c r="F24" i="7"/>
  <c r="F21" i="7"/>
  <c r="F29" i="7"/>
  <c r="F26" i="7"/>
  <c r="F31" i="7"/>
  <c r="F20" i="7"/>
  <c r="F28" i="7"/>
  <c r="F25" i="7"/>
  <c r="BA25" i="10"/>
  <c r="I31" i="8"/>
  <c r="U30" i="8"/>
  <c r="I29" i="8"/>
  <c r="I27" i="8"/>
  <c r="U24" i="8"/>
  <c r="M24" i="8"/>
  <c r="I23" i="8"/>
  <c r="I25" i="8" s="1"/>
  <c r="U22" i="8"/>
  <c r="M22" i="8"/>
  <c r="R20" i="8"/>
  <c r="R21" i="8" s="1"/>
  <c r="R22" i="8" s="1"/>
  <c r="G20" i="8"/>
  <c r="G21" i="8" s="1"/>
  <c r="G22" i="8" s="1"/>
  <c r="G38" i="8" s="1"/>
  <c r="E24" i="7"/>
  <c r="E25" i="7" s="1"/>
  <c r="D21" i="7"/>
  <c r="L162" i="5"/>
  <c r="L187" i="5" s="1"/>
  <c r="BH24" i="10"/>
  <c r="S32" i="8"/>
  <c r="K32" i="8"/>
  <c r="G31" i="8"/>
  <c r="S30" i="8"/>
  <c r="K30" i="8"/>
  <c r="G29" i="8"/>
  <c r="S28" i="8"/>
  <c r="K28" i="8"/>
  <c r="O27" i="8"/>
  <c r="G27" i="8"/>
  <c r="S24" i="8"/>
  <c r="S25" i="8" s="1"/>
  <c r="K24" i="8"/>
  <c r="O23" i="8"/>
  <c r="O25" i="8" s="1"/>
  <c r="E20" i="8"/>
  <c r="E21" i="8" s="1"/>
  <c r="F30" i="7"/>
  <c r="F22" i="7"/>
  <c r="BH23" i="10"/>
  <c r="AZ23" i="10"/>
  <c r="AZ25" i="10" s="1"/>
  <c r="AR23" i="10"/>
  <c r="AJ23" i="10"/>
  <c r="AB23" i="10"/>
  <c r="AB25" i="10" s="1"/>
  <c r="T23" i="10"/>
  <c r="L23" i="10"/>
  <c r="D23" i="10"/>
  <c r="N38" i="8"/>
  <c r="R32" i="8"/>
  <c r="R30" i="8"/>
  <c r="R28" i="8"/>
  <c r="R24" i="8"/>
  <c r="B18" i="7"/>
  <c r="B26" i="7" s="1"/>
  <c r="M143" i="5"/>
  <c r="K161" i="5"/>
  <c r="K186" i="5" s="1"/>
  <c r="E30" i="7"/>
  <c r="C24" i="7"/>
  <c r="E22" i="7"/>
  <c r="D18" i="7"/>
  <c r="L141" i="5"/>
  <c r="L119" i="5"/>
  <c r="G141" i="5"/>
  <c r="G119" i="5"/>
  <c r="G50" i="5"/>
  <c r="C30" i="7"/>
  <c r="E28" i="7"/>
  <c r="F23" i="7"/>
  <c r="E20" i="7"/>
  <c r="I118" i="5"/>
  <c r="I140" i="5"/>
  <c r="E31" i="7"/>
  <c r="D28" i="7"/>
  <c r="C25" i="7"/>
  <c r="C38" i="7" s="1"/>
  <c r="E23" i="7"/>
  <c r="K121" i="5"/>
  <c r="K146" i="5" s="1"/>
  <c r="L111" i="5"/>
  <c r="L121" i="5" s="1"/>
  <c r="L133" i="5"/>
  <c r="L146" i="5"/>
  <c r="K159" i="5"/>
  <c r="K184" i="5" s="1"/>
  <c r="D29" i="7"/>
  <c r="L115" i="5"/>
  <c r="L137" i="5"/>
  <c r="L157" i="5" s="1"/>
  <c r="L182" i="5" s="1"/>
  <c r="M120" i="5"/>
  <c r="M121" i="5" s="1"/>
  <c r="K111" i="5"/>
  <c r="K133" i="5"/>
  <c r="J151" i="5"/>
  <c r="I110" i="5"/>
  <c r="I132" i="5"/>
  <c r="G111" i="5"/>
  <c r="G133" i="5"/>
  <c r="K115" i="5"/>
  <c r="K137" i="5"/>
  <c r="K157" i="5" s="1"/>
  <c r="K182" i="5" s="1"/>
  <c r="J149" i="5"/>
  <c r="J174" i="5" s="1"/>
  <c r="E116" i="5"/>
  <c r="E138" i="5"/>
  <c r="J157" i="5"/>
  <c r="J182" i="5" s="1"/>
  <c r="J148" i="5"/>
  <c r="I114" i="5"/>
  <c r="I136" i="5"/>
  <c r="G115" i="5"/>
  <c r="G137" i="5"/>
  <c r="F121" i="5"/>
  <c r="F159" i="5" s="1"/>
  <c r="F184" i="5" s="1"/>
  <c r="M50" i="5"/>
  <c r="K148" i="5"/>
  <c r="E142" i="5"/>
  <c r="E120" i="5"/>
  <c r="E63" i="3"/>
  <c r="E62" i="3"/>
  <c r="E65" i="3"/>
  <c r="I121" i="5"/>
  <c r="I147" i="5" s="1"/>
  <c r="I172" i="5" s="1"/>
  <c r="K62" i="3"/>
  <c r="K58" i="3"/>
  <c r="K65" i="3"/>
  <c r="K73" i="3" s="1"/>
  <c r="J121" i="5"/>
  <c r="I149" i="5"/>
  <c r="I174" i="5" s="1"/>
  <c r="B112" i="5"/>
  <c r="B134" i="5"/>
  <c r="H107" i="5"/>
  <c r="H129" i="5"/>
  <c r="D106" i="5"/>
  <c r="D128" i="5"/>
  <c r="H127" i="5"/>
  <c r="H105" i="5"/>
  <c r="H121" i="5" s="1"/>
  <c r="D126" i="5"/>
  <c r="D104" i="5"/>
  <c r="L139" i="5"/>
  <c r="L135" i="5"/>
  <c r="L155" i="5" s="1"/>
  <c r="L180" i="5" s="1"/>
  <c r="E112" i="5"/>
  <c r="E121" i="5" s="1"/>
  <c r="E134" i="5"/>
  <c r="C118" i="5"/>
  <c r="C140" i="5"/>
  <c r="U63" i="3"/>
  <c r="U62" i="3"/>
  <c r="O65" i="3"/>
  <c r="O63" i="3"/>
  <c r="O61" i="3"/>
  <c r="G74" i="3"/>
  <c r="H119" i="5"/>
  <c r="C116" i="5"/>
  <c r="C138" i="5"/>
  <c r="C110" i="5"/>
  <c r="C132" i="5"/>
  <c r="S62" i="3"/>
  <c r="M63" i="3"/>
  <c r="M62" i="3"/>
  <c r="G63" i="3"/>
  <c r="G61" i="3"/>
  <c r="M42" i="3"/>
  <c r="M49" i="3" s="1"/>
  <c r="M50" i="3" s="1"/>
  <c r="M69" i="3"/>
  <c r="S63" i="3"/>
  <c r="C120" i="5"/>
  <c r="C142" i="5"/>
  <c r="C114" i="5"/>
  <c r="C136" i="5"/>
  <c r="B20" i="4"/>
  <c r="B21" i="4" s="1"/>
  <c r="B22" i="4" s="1"/>
  <c r="B24" i="4"/>
  <c r="B28" i="4"/>
  <c r="B34" i="4" s="1"/>
  <c r="B32" i="4"/>
  <c r="B25" i="4"/>
  <c r="B29" i="4"/>
  <c r="E70" i="3"/>
  <c r="U65" i="3"/>
  <c r="U73" i="3" s="1"/>
  <c r="K63" i="3"/>
  <c r="M73" i="3"/>
  <c r="M72" i="3"/>
  <c r="M71" i="3"/>
  <c r="G53" i="3"/>
  <c r="G52" i="3"/>
  <c r="G54" i="3" s="1"/>
  <c r="G56" i="3" s="1"/>
  <c r="W61" i="3"/>
  <c r="C62" i="3"/>
  <c r="C58" i="3"/>
  <c r="C65" i="3"/>
  <c r="K72" i="3"/>
  <c r="K71" i="3"/>
  <c r="K54" i="3"/>
  <c r="K56" i="3" s="1"/>
  <c r="E42" i="3"/>
  <c r="E49" i="3" s="1"/>
  <c r="E50" i="3" s="1"/>
  <c r="E69" i="3"/>
  <c r="I138" i="5"/>
  <c r="I158" i="5" s="1"/>
  <c r="I183" i="5" s="1"/>
  <c r="I134" i="5"/>
  <c r="I154" i="5" s="1"/>
  <c r="I179" i="5" s="1"/>
  <c r="G139" i="5"/>
  <c r="G135" i="5"/>
  <c r="E140" i="5"/>
  <c r="E136" i="5"/>
  <c r="E132" i="5"/>
  <c r="C112" i="5"/>
  <c r="C121" i="5" s="1"/>
  <c r="C134" i="5"/>
  <c r="B120" i="5"/>
  <c r="B121" i="5" s="1"/>
  <c r="B18" i="4"/>
  <c r="G83" i="18"/>
  <c r="G88" i="18" s="1"/>
  <c r="G76" i="18"/>
  <c r="W53" i="3"/>
  <c r="R31" i="3"/>
  <c r="J31" i="3"/>
  <c r="B31" i="3"/>
  <c r="P35" i="3"/>
  <c r="P30" i="3"/>
  <c r="P34" i="3"/>
  <c r="H35" i="3"/>
  <c r="H30" i="3"/>
  <c r="H38" i="3" s="1"/>
  <c r="H34" i="3"/>
  <c r="V30" i="3"/>
  <c r="V34" i="3"/>
  <c r="V28" i="3"/>
  <c r="V36" i="3"/>
  <c r="N30" i="3"/>
  <c r="N34" i="3"/>
  <c r="N28" i="3"/>
  <c r="N36" i="3"/>
  <c r="F30" i="3"/>
  <c r="F34" i="3"/>
  <c r="F28" i="3"/>
  <c r="F36" i="3"/>
  <c r="T33" i="3"/>
  <c r="T28" i="3"/>
  <c r="T36" i="3"/>
  <c r="T35" i="3"/>
  <c r="L33" i="3"/>
  <c r="L28" i="3"/>
  <c r="L36" i="3"/>
  <c r="L35" i="3"/>
  <c r="D33" i="3"/>
  <c r="D28" i="3"/>
  <c r="D36" i="3"/>
  <c r="D35" i="3"/>
  <c r="R28" i="3"/>
  <c r="R38" i="3" s="1"/>
  <c r="R45" i="3" s="1"/>
  <c r="R36" i="3"/>
  <c r="R35" i="3"/>
  <c r="R30" i="3"/>
  <c r="R34" i="3"/>
  <c r="J28" i="3"/>
  <c r="J36" i="3"/>
  <c r="J35" i="3"/>
  <c r="J30" i="3"/>
  <c r="J34" i="3"/>
  <c r="B28" i="3"/>
  <c r="B36" i="3"/>
  <c r="B35" i="3"/>
  <c r="B30" i="3"/>
  <c r="B34" i="3"/>
  <c r="C29" i="4"/>
  <c r="C25" i="4"/>
  <c r="F35" i="3"/>
  <c r="R29" i="3"/>
  <c r="J29" i="3"/>
  <c r="B29" i="3"/>
  <c r="O53" i="3"/>
  <c r="D30" i="3"/>
  <c r="N35" i="3"/>
  <c r="B33" i="3"/>
  <c r="C31" i="4"/>
  <c r="C27" i="4"/>
  <c r="C23" i="4"/>
  <c r="J33" i="3"/>
  <c r="L30" i="3"/>
  <c r="B31" i="4"/>
  <c r="B27" i="4"/>
  <c r="B23" i="4"/>
  <c r="Q71" i="3"/>
  <c r="G65" i="3"/>
  <c r="G71" i="3" s="1"/>
  <c r="U42" i="3"/>
  <c r="U49" i="3" s="1"/>
  <c r="U50" i="3" s="1"/>
  <c r="T34" i="3"/>
  <c r="R33" i="3"/>
  <c r="P28" i="3"/>
  <c r="E76" i="18"/>
  <c r="E97" i="18"/>
  <c r="E110" i="18" s="1"/>
  <c r="S40" i="3"/>
  <c r="E96" i="18"/>
  <c r="E109" i="18" s="1"/>
  <c r="E94" i="18"/>
  <c r="C99" i="18"/>
  <c r="C112" i="18" s="1"/>
  <c r="J95" i="18"/>
  <c r="J108" i="18" s="1"/>
  <c r="D88" i="18"/>
  <c r="D92" i="18" s="1"/>
  <c r="D104" i="18" s="1"/>
  <c r="C91" i="18"/>
  <c r="C103" i="18" s="1"/>
  <c r="E93" i="18"/>
  <c r="E105" i="18" s="1"/>
  <c r="C88" i="18"/>
  <c r="C98" i="18" s="1"/>
  <c r="C111" i="18" s="1"/>
  <c r="F88" i="18"/>
  <c r="F92" i="18" s="1"/>
  <c r="F104" i="18" s="1"/>
  <c r="C97" i="18"/>
  <c r="C110" i="18" s="1"/>
  <c r="C94" i="18"/>
  <c r="E98" i="18"/>
  <c r="E111" i="18" s="1"/>
  <c r="C95" i="18"/>
  <c r="C108" i="18" s="1"/>
  <c r="H97" i="18"/>
  <c r="H110" i="18" s="1"/>
  <c r="I97" i="18"/>
  <c r="I110" i="18" s="1"/>
  <c r="J98" i="18"/>
  <c r="J111" i="18" s="1"/>
  <c r="K99" i="18"/>
  <c r="K112" i="18" s="1"/>
  <c r="E88" i="18"/>
  <c r="B88" i="18"/>
  <c r="B96" i="18" s="1"/>
  <c r="B109" i="18" s="1"/>
  <c r="I88" i="18"/>
  <c r="I95" i="18" s="1"/>
  <c r="I108" i="18" s="1"/>
  <c r="J97" i="18"/>
  <c r="J110" i="18" s="1"/>
  <c r="M99" i="18"/>
  <c r="M112" i="18" s="1"/>
  <c r="J90" i="18"/>
  <c r="J88" i="18"/>
  <c r="J96" i="18" s="1"/>
  <c r="J109" i="18" s="1"/>
  <c r="L88" i="18"/>
  <c r="L92" i="18" s="1"/>
  <c r="L104" i="18" s="1"/>
  <c r="M98" i="18"/>
  <c r="M111" i="18" s="1"/>
  <c r="H94" i="18"/>
  <c r="B95" i="18"/>
  <c r="B108" i="18" s="1"/>
  <c r="K92" i="18"/>
  <c r="K104" i="18" s="1"/>
  <c r="H79" i="18"/>
  <c r="H76" i="18"/>
  <c r="I99" i="18"/>
  <c r="I112" i="18" s="1"/>
  <c r="J93" i="18"/>
  <c r="J105" i="18" s="1"/>
  <c r="M96" i="18"/>
  <c r="M109" i="18" s="1"/>
  <c r="M88" i="18"/>
  <c r="M92" i="18" s="1"/>
  <c r="M104" i="18" s="1"/>
  <c r="H98" i="18"/>
  <c r="H111" i="18" s="1"/>
  <c r="H88" i="18"/>
  <c r="H93" i="18" s="1"/>
  <c r="H105" i="18" s="1"/>
  <c r="I98" i="18"/>
  <c r="I111" i="18" s="1"/>
  <c r="J99" i="18"/>
  <c r="J112" i="18" s="1"/>
  <c r="J92" i="18"/>
  <c r="J104" i="18" s="1"/>
  <c r="K88" i="18"/>
  <c r="L99" i="18"/>
  <c r="L112" i="18" s="1"/>
  <c r="L76" i="18"/>
  <c r="L81" i="18"/>
  <c r="M95" i="18"/>
  <c r="M108" i="18" s="1"/>
  <c r="K90" i="18"/>
  <c r="BA53" i="11" l="1"/>
  <c r="BA54" i="11"/>
  <c r="B42" i="2"/>
  <c r="B51" i="2"/>
  <c r="B44" i="2"/>
  <c r="B41" i="2"/>
  <c r="B49" i="2"/>
  <c r="B58" i="2" s="1"/>
  <c r="B43" i="2"/>
  <c r="B47" i="2"/>
  <c r="B40" i="2"/>
  <c r="B57" i="2" s="1"/>
  <c r="B48" i="2"/>
  <c r="B39" i="2"/>
  <c r="B46" i="2"/>
  <c r="B45" i="2"/>
  <c r="S54" i="12"/>
  <c r="P39" i="10"/>
  <c r="P26" i="10"/>
  <c r="H40" i="3"/>
  <c r="H43" i="3"/>
  <c r="H47" i="3"/>
  <c r="H51" i="3"/>
  <c r="H57" i="3"/>
  <c r="H59" i="3"/>
  <c r="H46" i="3"/>
  <c r="H45" i="3"/>
  <c r="H55" i="3"/>
  <c r="H70" i="3" s="1"/>
  <c r="H60" i="3"/>
  <c r="H48" i="3"/>
  <c r="H44" i="3"/>
  <c r="I26" i="8"/>
  <c r="I34" i="8" s="1"/>
  <c r="I37" i="8"/>
  <c r="BB26" i="10"/>
  <c r="BB39" i="10"/>
  <c r="BI26" i="10"/>
  <c r="AS53" i="11"/>
  <c r="AS54" i="11"/>
  <c r="AV26" i="10"/>
  <c r="X26" i="10"/>
  <c r="BD26" i="10"/>
  <c r="BD35" i="10" s="1"/>
  <c r="E148" i="5"/>
  <c r="E150" i="5"/>
  <c r="E146" i="5"/>
  <c r="E153" i="5"/>
  <c r="E178" i="5" s="1"/>
  <c r="E122" i="5"/>
  <c r="E123" i="5" s="1"/>
  <c r="E157" i="5"/>
  <c r="E182" i="5" s="1"/>
  <c r="E147" i="5"/>
  <c r="E172" i="5" s="1"/>
  <c r="E161" i="5"/>
  <c r="E186" i="5" s="1"/>
  <c r="E159" i="5"/>
  <c r="E184" i="5" s="1"/>
  <c r="E151" i="5"/>
  <c r="E155" i="5"/>
  <c r="E180" i="5" s="1"/>
  <c r="E149" i="5"/>
  <c r="E174" i="5" s="1"/>
  <c r="G96" i="18"/>
  <c r="G109" i="18" s="1"/>
  <c r="G92" i="18"/>
  <c r="G104" i="18" s="1"/>
  <c r="G91" i="18"/>
  <c r="G103" i="18" s="1"/>
  <c r="G93" i="18"/>
  <c r="G105" i="18" s="1"/>
  <c r="G94" i="18"/>
  <c r="G97" i="18"/>
  <c r="G110" i="18" s="1"/>
  <c r="G99" i="18"/>
  <c r="G112" i="18" s="1"/>
  <c r="G90" i="18"/>
  <c r="G98" i="18"/>
  <c r="G111" i="18" s="1"/>
  <c r="D53" i="11"/>
  <c r="D54" i="11"/>
  <c r="AB26" i="10"/>
  <c r="AB39" i="10"/>
  <c r="O26" i="8"/>
  <c r="O34" i="8" s="1"/>
  <c r="O35" i="8"/>
  <c r="O36" i="8" s="1"/>
  <c r="O37" i="8"/>
  <c r="E32" i="7"/>
  <c r="E35" i="7"/>
  <c r="V26" i="10"/>
  <c r="V39" i="10" s="1"/>
  <c r="AT26" i="10"/>
  <c r="AT39" i="10"/>
  <c r="BJ26" i="10"/>
  <c r="BJ39" i="10"/>
  <c r="AL26" i="10"/>
  <c r="AL39" i="10" s="1"/>
  <c r="AF26" i="10"/>
  <c r="BL26" i="10"/>
  <c r="BL35" i="10" s="1"/>
  <c r="T53" i="11"/>
  <c r="T54" i="11"/>
  <c r="E62" i="2"/>
  <c r="M150" i="5"/>
  <c r="M146" i="5"/>
  <c r="M151" i="5"/>
  <c r="M155" i="5"/>
  <c r="M180" i="5" s="1"/>
  <c r="M159" i="5"/>
  <c r="M184" i="5" s="1"/>
  <c r="M161" i="5"/>
  <c r="M186" i="5" s="1"/>
  <c r="M122" i="5"/>
  <c r="M123" i="5" s="1"/>
  <c r="M148" i="5"/>
  <c r="M153" i="5"/>
  <c r="M178" i="5" s="1"/>
  <c r="M157" i="5"/>
  <c r="M182" i="5" s="1"/>
  <c r="M147" i="5"/>
  <c r="M172" i="5" s="1"/>
  <c r="M149" i="5"/>
  <c r="M174" i="5" s="1"/>
  <c r="M154" i="5"/>
  <c r="M179" i="5" s="1"/>
  <c r="M156" i="5"/>
  <c r="M181" i="5" s="1"/>
  <c r="M162" i="5"/>
  <c r="M187" i="5" s="1"/>
  <c r="M158" i="5"/>
  <c r="M183" i="5" s="1"/>
  <c r="M160" i="5"/>
  <c r="M185" i="5" s="1"/>
  <c r="M152" i="5"/>
  <c r="M177" i="5" s="1"/>
  <c r="AB53" i="11"/>
  <c r="AB54" i="11"/>
  <c r="M62" i="2"/>
  <c r="C150" i="5"/>
  <c r="C146" i="5"/>
  <c r="C151" i="5"/>
  <c r="C159" i="5"/>
  <c r="C184" i="5" s="1"/>
  <c r="C153" i="5"/>
  <c r="C178" i="5" s="1"/>
  <c r="C161" i="5"/>
  <c r="C186" i="5" s="1"/>
  <c r="C155" i="5"/>
  <c r="C180" i="5" s="1"/>
  <c r="C148" i="5"/>
  <c r="C157" i="5"/>
  <c r="C182" i="5" s="1"/>
  <c r="C122" i="5"/>
  <c r="C123" i="5" s="1"/>
  <c r="C149" i="5"/>
  <c r="C174" i="5" s="1"/>
  <c r="C147" i="5"/>
  <c r="C172" i="5" s="1"/>
  <c r="B150" i="5"/>
  <c r="B146" i="5"/>
  <c r="B151" i="5"/>
  <c r="B148" i="5"/>
  <c r="B153" i="5"/>
  <c r="B178" i="5" s="1"/>
  <c r="B147" i="5"/>
  <c r="B172" i="5" s="1"/>
  <c r="B149" i="5"/>
  <c r="B174" i="5" s="1"/>
  <c r="B157" i="5"/>
  <c r="B182" i="5" s="1"/>
  <c r="B122" i="5"/>
  <c r="B123" i="5" s="1"/>
  <c r="B158" i="5"/>
  <c r="B183" i="5" s="1"/>
  <c r="B152" i="5"/>
  <c r="B177" i="5" s="1"/>
  <c r="B160" i="5"/>
  <c r="B185" i="5" s="1"/>
  <c r="B155" i="5"/>
  <c r="B180" i="5" s="1"/>
  <c r="B162" i="5"/>
  <c r="B187" i="5" s="1"/>
  <c r="B156" i="5"/>
  <c r="B181" i="5" s="1"/>
  <c r="B161" i="5"/>
  <c r="B186" i="5" s="1"/>
  <c r="B159" i="5"/>
  <c r="B184" i="5" s="1"/>
  <c r="H150" i="5"/>
  <c r="H151" i="5"/>
  <c r="H155" i="5"/>
  <c r="H180" i="5" s="1"/>
  <c r="H159" i="5"/>
  <c r="H184" i="5" s="1"/>
  <c r="H153" i="5"/>
  <c r="H178" i="5" s="1"/>
  <c r="H157" i="5"/>
  <c r="H182" i="5" s="1"/>
  <c r="H122" i="5"/>
  <c r="H123" i="5" s="1"/>
  <c r="H152" i="5"/>
  <c r="H177" i="5" s="1"/>
  <c r="H158" i="5"/>
  <c r="H183" i="5" s="1"/>
  <c r="H161" i="5"/>
  <c r="H186" i="5" s="1"/>
  <c r="H148" i="5"/>
  <c r="H146" i="5"/>
  <c r="H154" i="5"/>
  <c r="H179" i="5" s="1"/>
  <c r="H162" i="5"/>
  <c r="H187" i="5" s="1"/>
  <c r="H156" i="5"/>
  <c r="H181" i="5" s="1"/>
  <c r="H160" i="5"/>
  <c r="H185" i="5" s="1"/>
  <c r="K171" i="5"/>
  <c r="S37" i="8"/>
  <c r="S26" i="8"/>
  <c r="S34" i="8" s="1"/>
  <c r="R25" i="8"/>
  <c r="R38" i="8"/>
  <c r="H26" i="10"/>
  <c r="AN39" i="10"/>
  <c r="AN26" i="10"/>
  <c r="AK53" i="11"/>
  <c r="AK54" i="11" s="1"/>
  <c r="F98" i="18"/>
  <c r="F111" i="18" s="1"/>
  <c r="B154" i="5"/>
  <c r="B179" i="5" s="1"/>
  <c r="B143" i="5"/>
  <c r="E26" i="10"/>
  <c r="G41" i="2"/>
  <c r="G49" i="2"/>
  <c r="G58" i="2" s="1"/>
  <c r="G43" i="2"/>
  <c r="G40" i="2"/>
  <c r="G57" i="2" s="1"/>
  <c r="G48" i="2"/>
  <c r="G42" i="2"/>
  <c r="G51" i="2"/>
  <c r="G65" i="2" s="1"/>
  <c r="G47" i="2"/>
  <c r="G39" i="2"/>
  <c r="G46" i="2"/>
  <c r="I51" i="2"/>
  <c r="I39" i="2"/>
  <c r="I47" i="2"/>
  <c r="I41" i="2"/>
  <c r="I49" i="2"/>
  <c r="I58" i="2" s="1"/>
  <c r="I46" i="2"/>
  <c r="I40" i="2"/>
  <c r="I48" i="2"/>
  <c r="I44" i="2"/>
  <c r="I45" i="2"/>
  <c r="B92" i="18"/>
  <c r="B104" i="18" s="1"/>
  <c r="L96" i="18"/>
  <c r="L109" i="18" s="1"/>
  <c r="E95" i="18"/>
  <c r="E108" i="18" s="1"/>
  <c r="E99" i="18"/>
  <c r="E112" i="18" s="1"/>
  <c r="B98" i="18"/>
  <c r="B111" i="18" s="1"/>
  <c r="M91" i="18"/>
  <c r="M103" i="18" s="1"/>
  <c r="I93" i="18"/>
  <c r="I105" i="18" s="1"/>
  <c r="S41" i="3"/>
  <c r="S42" i="3" s="1"/>
  <c r="S68" i="3"/>
  <c r="S67" i="3"/>
  <c r="S65" i="3"/>
  <c r="S69" i="3"/>
  <c r="E91" i="18"/>
  <c r="E103" i="18" s="1"/>
  <c r="L38" i="3"/>
  <c r="F38" i="3"/>
  <c r="V38" i="3"/>
  <c r="G155" i="5"/>
  <c r="G180" i="5" s="1"/>
  <c r="J150" i="5"/>
  <c r="J154" i="5"/>
  <c r="J179" i="5" s="1"/>
  <c r="J158" i="5"/>
  <c r="J183" i="5" s="1"/>
  <c r="J152" i="5"/>
  <c r="J177" i="5" s="1"/>
  <c r="J156" i="5"/>
  <c r="J181" i="5" s="1"/>
  <c r="J160" i="5"/>
  <c r="J185" i="5" s="1"/>
  <c r="J122" i="5"/>
  <c r="J123" i="5" s="1"/>
  <c r="J146" i="5"/>
  <c r="I153" i="5"/>
  <c r="I178" i="5" s="1"/>
  <c r="F157" i="5"/>
  <c r="F182" i="5" s="1"/>
  <c r="J159" i="5"/>
  <c r="J184" i="5" s="1"/>
  <c r="L151" i="5"/>
  <c r="L147" i="5"/>
  <c r="L172" i="5" s="1"/>
  <c r="L122" i="5"/>
  <c r="L123" i="5" s="1"/>
  <c r="L149" i="5"/>
  <c r="L174" i="5" s="1"/>
  <c r="L150" i="5"/>
  <c r="L154" i="5"/>
  <c r="L179" i="5" s="1"/>
  <c r="L158" i="5"/>
  <c r="L183" i="5" s="1"/>
  <c r="L156" i="5"/>
  <c r="L181" i="5" s="1"/>
  <c r="L160" i="5"/>
  <c r="L185" i="5" s="1"/>
  <c r="L152" i="5"/>
  <c r="L177" i="5" s="1"/>
  <c r="B30" i="7"/>
  <c r="M25" i="8"/>
  <c r="M38" i="8"/>
  <c r="J155" i="5"/>
  <c r="J180" i="5" s="1"/>
  <c r="D25" i="10"/>
  <c r="J26" i="10"/>
  <c r="J39" i="10"/>
  <c r="O30" i="10"/>
  <c r="O31" i="10"/>
  <c r="O32" i="10"/>
  <c r="O25" i="10"/>
  <c r="O29" i="10"/>
  <c r="O26" i="10"/>
  <c r="AE22" i="10"/>
  <c r="AU30" i="10"/>
  <c r="AU29" i="10"/>
  <c r="AU31" i="10"/>
  <c r="AU32" i="10"/>
  <c r="AU24" i="10"/>
  <c r="AU25" i="10" s="1"/>
  <c r="BK22" i="10"/>
  <c r="BE26" i="10"/>
  <c r="BE39" i="10"/>
  <c r="H35" i="10"/>
  <c r="H36" i="10"/>
  <c r="X35" i="10"/>
  <c r="X36" i="10"/>
  <c r="AN35" i="10"/>
  <c r="AN36" i="10"/>
  <c r="AM30" i="11"/>
  <c r="AM39" i="11"/>
  <c r="AM43" i="11" s="1"/>
  <c r="AQ35" i="10"/>
  <c r="AQ36" i="10"/>
  <c r="AQ38" i="10"/>
  <c r="AQ33" i="10"/>
  <c r="O42" i="11"/>
  <c r="C31" i="11"/>
  <c r="AK31" i="11"/>
  <c r="AK38" i="11"/>
  <c r="AK42" i="11" s="1"/>
  <c r="S35" i="10"/>
  <c r="S36" i="10"/>
  <c r="S38" i="10"/>
  <c r="S33" i="10"/>
  <c r="W31" i="11"/>
  <c r="BM38" i="10"/>
  <c r="BM40" i="10" s="1"/>
  <c r="BM33" i="10"/>
  <c r="BM34" i="10"/>
  <c r="BM35" i="10"/>
  <c r="AR31" i="11"/>
  <c r="AF42" i="11"/>
  <c r="P37" i="8"/>
  <c r="P26" i="8"/>
  <c r="P34" i="8" s="1"/>
  <c r="P35" i="8"/>
  <c r="P36" i="8" s="1"/>
  <c r="AI40" i="10"/>
  <c r="AS31" i="11"/>
  <c r="AS38" i="11"/>
  <c r="AS42" i="11" s="1"/>
  <c r="T25" i="8"/>
  <c r="AN30" i="11"/>
  <c r="AN39" i="11"/>
  <c r="AS56" i="11"/>
  <c r="N46" i="2"/>
  <c r="N40" i="2"/>
  <c r="N48" i="2"/>
  <c r="N45" i="2"/>
  <c r="N51" i="2"/>
  <c r="N39" i="2"/>
  <c r="N47" i="2"/>
  <c r="N44" i="2"/>
  <c r="N43" i="2"/>
  <c r="N52" i="2" s="1"/>
  <c r="N64" i="2" s="1"/>
  <c r="D40" i="2"/>
  <c r="D48" i="2"/>
  <c r="D42" i="2"/>
  <c r="D51" i="2"/>
  <c r="D39" i="2"/>
  <c r="D47" i="2"/>
  <c r="D41" i="2"/>
  <c r="D49" i="2"/>
  <c r="D58" i="2" s="1"/>
  <c r="D45" i="2"/>
  <c r="D46" i="2"/>
  <c r="N49" i="2"/>
  <c r="N58" i="2" s="1"/>
  <c r="M36" i="12"/>
  <c r="M42" i="12"/>
  <c r="M51" i="12" s="1"/>
  <c r="M37" i="12"/>
  <c r="M48" i="12"/>
  <c r="T43" i="11"/>
  <c r="L39" i="12"/>
  <c r="L50" i="12"/>
  <c r="M39" i="2"/>
  <c r="I50" i="12"/>
  <c r="I54" i="12" s="1"/>
  <c r="I39" i="12"/>
  <c r="I45" i="12" s="1"/>
  <c r="K62" i="2"/>
  <c r="S53" i="12"/>
  <c r="AE30" i="11"/>
  <c r="AE39" i="11"/>
  <c r="AE43" i="11" s="1"/>
  <c r="AR42" i="11"/>
  <c r="AR43" i="11"/>
  <c r="S40" i="12"/>
  <c r="S49" i="12"/>
  <c r="I40" i="12"/>
  <c r="I49" i="12"/>
  <c r="I53" i="12" s="1"/>
  <c r="C53" i="12"/>
  <c r="K96" i="18"/>
  <c r="K109" i="18" s="1"/>
  <c r="K98" i="18"/>
  <c r="K111" i="18" s="1"/>
  <c r="K93" i="18"/>
  <c r="K105" i="18" s="1"/>
  <c r="H91" i="18"/>
  <c r="H103" i="18" s="1"/>
  <c r="L90" i="18"/>
  <c r="L91" i="18"/>
  <c r="L103" i="18" s="1"/>
  <c r="K95" i="18"/>
  <c r="K108" i="18" s="1"/>
  <c r="M90" i="18"/>
  <c r="H99" i="18"/>
  <c r="H112" i="18" s="1"/>
  <c r="J94" i="18"/>
  <c r="L97" i="18"/>
  <c r="L110" i="18" s="1"/>
  <c r="K94" i="18"/>
  <c r="M94" i="18"/>
  <c r="K91" i="18"/>
  <c r="K103" i="18" s="1"/>
  <c r="H96" i="18"/>
  <c r="H109" i="18" s="1"/>
  <c r="C90" i="18"/>
  <c r="H92" i="18"/>
  <c r="H104" i="18" s="1"/>
  <c r="C93" i="18"/>
  <c r="C105" i="18" s="1"/>
  <c r="P38" i="3"/>
  <c r="J38" i="3"/>
  <c r="C72" i="3"/>
  <c r="C71" i="3"/>
  <c r="C73" i="3"/>
  <c r="C156" i="5"/>
  <c r="C181" i="5" s="1"/>
  <c r="M58" i="3"/>
  <c r="E154" i="5"/>
  <c r="E179" i="5" s="1"/>
  <c r="H147" i="5"/>
  <c r="H172" i="5" s="1"/>
  <c r="H143" i="5"/>
  <c r="J153" i="5"/>
  <c r="J178" i="5" s="1"/>
  <c r="J147" i="5"/>
  <c r="J172" i="5" s="1"/>
  <c r="G157" i="5"/>
  <c r="G182" i="5" s="1"/>
  <c r="E158" i="5"/>
  <c r="E183" i="5" s="1"/>
  <c r="K153" i="5"/>
  <c r="K178" i="5" s="1"/>
  <c r="K143" i="5"/>
  <c r="L148" i="5"/>
  <c r="L161" i="5"/>
  <c r="L186" i="5" s="1"/>
  <c r="B22" i="7"/>
  <c r="U25" i="8"/>
  <c r="U38" i="8"/>
  <c r="L25" i="10"/>
  <c r="F26" i="10"/>
  <c r="F39" i="10"/>
  <c r="BK24" i="10"/>
  <c r="W23" i="10"/>
  <c r="AE28" i="10"/>
  <c r="BC23" i="10"/>
  <c r="BK28" i="10"/>
  <c r="AU30" i="11"/>
  <c r="AU39" i="11"/>
  <c r="AU43" i="11" s="1"/>
  <c r="U33" i="10"/>
  <c r="U35" i="10"/>
  <c r="U36" i="10"/>
  <c r="U38" i="10"/>
  <c r="U40" i="10" s="1"/>
  <c r="S30" i="11"/>
  <c r="S39" i="11"/>
  <c r="BA31" i="11"/>
  <c r="BA38" i="11"/>
  <c r="BA42" i="11" s="1"/>
  <c r="S42" i="11"/>
  <c r="S43" i="11"/>
  <c r="G42" i="11"/>
  <c r="L30" i="11"/>
  <c r="D52" i="2"/>
  <c r="G44" i="2"/>
  <c r="L43" i="11"/>
  <c r="U36" i="12"/>
  <c r="U42" i="12"/>
  <c r="U51" i="12" s="1"/>
  <c r="U48" i="12"/>
  <c r="U37" i="12"/>
  <c r="AH53" i="11"/>
  <c r="AH54" i="11"/>
  <c r="H37" i="12"/>
  <c r="H48" i="12"/>
  <c r="H36" i="12"/>
  <c r="H42" i="12"/>
  <c r="H51" i="12" s="1"/>
  <c r="E56" i="2"/>
  <c r="E55" i="2"/>
  <c r="N42" i="2"/>
  <c r="G53" i="12"/>
  <c r="N50" i="12"/>
  <c r="N54" i="12" s="1"/>
  <c r="O58" i="12"/>
  <c r="O59" i="12"/>
  <c r="K55" i="2"/>
  <c r="K56" i="2"/>
  <c r="R44" i="3"/>
  <c r="R48" i="3"/>
  <c r="R43" i="3"/>
  <c r="R47" i="3"/>
  <c r="R46" i="3"/>
  <c r="R57" i="3"/>
  <c r="R60" i="3"/>
  <c r="R59" i="3"/>
  <c r="R55" i="3"/>
  <c r="R70" i="3" s="1"/>
  <c r="E160" i="5"/>
  <c r="E185" i="5" s="1"/>
  <c r="L153" i="5"/>
  <c r="L178" i="5" s="1"/>
  <c r="L143" i="5"/>
  <c r="C36" i="7"/>
  <c r="AQ40" i="10"/>
  <c r="W42" i="11"/>
  <c r="E36" i="12"/>
  <c r="E42" i="12"/>
  <c r="E51" i="12" s="1"/>
  <c r="E48" i="12"/>
  <c r="E37" i="12"/>
  <c r="AP36" i="10"/>
  <c r="AP38" i="10"/>
  <c r="AP40" i="10" s="1"/>
  <c r="AP33" i="10"/>
  <c r="AP34" i="10"/>
  <c r="M97" i="18"/>
  <c r="M110" i="18" s="1"/>
  <c r="J91" i="18"/>
  <c r="J103" i="18" s="1"/>
  <c r="B93" i="18"/>
  <c r="B105" i="18" s="1"/>
  <c r="C106" i="18"/>
  <c r="C107" i="18"/>
  <c r="D91" i="18"/>
  <c r="D103" i="18" s="1"/>
  <c r="D97" i="18"/>
  <c r="D110" i="18" s="1"/>
  <c r="C154" i="5"/>
  <c r="C179" i="5" s="1"/>
  <c r="U71" i="3"/>
  <c r="G72" i="3"/>
  <c r="U58" i="3"/>
  <c r="E58" i="3"/>
  <c r="J162" i="5"/>
  <c r="J187" i="5" s="1"/>
  <c r="F151" i="5"/>
  <c r="I160" i="5"/>
  <c r="I185" i="5" s="1"/>
  <c r="D26" i="7"/>
  <c r="D23" i="7"/>
  <c r="D31" i="7"/>
  <c r="D22" i="7"/>
  <c r="D30" i="7"/>
  <c r="D24" i="7"/>
  <c r="F37" i="7"/>
  <c r="F38" i="7"/>
  <c r="F26" i="8"/>
  <c r="F34" i="8" s="1"/>
  <c r="F35" i="8"/>
  <c r="F36" i="8" s="1"/>
  <c r="F37" i="8"/>
  <c r="AL35" i="10"/>
  <c r="AL36" i="10"/>
  <c r="G30" i="10"/>
  <c r="G31" i="10"/>
  <c r="G32" i="10"/>
  <c r="G24" i="10"/>
  <c r="G29" i="10"/>
  <c r="AM30" i="10"/>
  <c r="AM31" i="10"/>
  <c r="AM29" i="10"/>
  <c r="AM32" i="10"/>
  <c r="AM24" i="10"/>
  <c r="N35" i="8"/>
  <c r="N36" i="8" s="1"/>
  <c r="BC30" i="11"/>
  <c r="BC39" i="11"/>
  <c r="BC43" i="11" s="1"/>
  <c r="Y26" i="10"/>
  <c r="Y39" i="10"/>
  <c r="AA30" i="11"/>
  <c r="AA39" i="11"/>
  <c r="AA43" i="11" s="1"/>
  <c r="W30" i="11"/>
  <c r="W39" i="11"/>
  <c r="W43" i="11" s="1"/>
  <c r="K42" i="11"/>
  <c r="K43" i="11"/>
  <c r="AX35" i="10"/>
  <c r="AX36" i="10"/>
  <c r="AX38" i="10"/>
  <c r="AX33" i="10"/>
  <c r="AX34" i="10"/>
  <c r="S31" i="11"/>
  <c r="I38" i="10"/>
  <c r="I40" i="10" s="1"/>
  <c r="I33" i="10"/>
  <c r="I34" i="10"/>
  <c r="I35" i="10"/>
  <c r="G31" i="11"/>
  <c r="AS30" i="11"/>
  <c r="T30" i="11"/>
  <c r="H56" i="2"/>
  <c r="H55" i="2"/>
  <c r="N41" i="2"/>
  <c r="J52" i="2"/>
  <c r="J64" i="2" s="1"/>
  <c r="C62" i="2"/>
  <c r="C59" i="2"/>
  <c r="H44" i="2"/>
  <c r="H46" i="2"/>
  <c r="H43" i="2"/>
  <c r="H52" i="2" s="1"/>
  <c r="H45" i="2"/>
  <c r="H49" i="2"/>
  <c r="H58" i="2" s="1"/>
  <c r="H42" i="2"/>
  <c r="H51" i="2"/>
  <c r="H41" i="2"/>
  <c r="F32" i="12"/>
  <c r="E43" i="2"/>
  <c r="E52" i="2" s="1"/>
  <c r="E45" i="2"/>
  <c r="E42" i="2"/>
  <c r="E51" i="2"/>
  <c r="E44" i="2"/>
  <c r="E49" i="2"/>
  <c r="E58" i="2" s="1"/>
  <c r="E40" i="2"/>
  <c r="E57" i="2" s="1"/>
  <c r="E48" i="2"/>
  <c r="E41" i="2"/>
  <c r="L51" i="11"/>
  <c r="L50" i="11" s="1"/>
  <c r="P37" i="12"/>
  <c r="P36" i="12"/>
  <c r="P42" i="12"/>
  <c r="P51" i="12" s="1"/>
  <c r="P48" i="12"/>
  <c r="I43" i="2"/>
  <c r="I52" i="2" s="1"/>
  <c r="I64" i="2" s="1"/>
  <c r="K42" i="12"/>
  <c r="K51" i="12" s="1"/>
  <c r="K48" i="12"/>
  <c r="K36" i="12"/>
  <c r="K37" i="12"/>
  <c r="N39" i="12"/>
  <c r="F95" i="18"/>
  <c r="F108" i="18" s="1"/>
  <c r="F97" i="18"/>
  <c r="F110" i="18" s="1"/>
  <c r="F90" i="18"/>
  <c r="O73" i="3"/>
  <c r="O72" i="3"/>
  <c r="O71" i="3"/>
  <c r="AR26" i="10"/>
  <c r="AR39" i="10" s="1"/>
  <c r="AD39" i="10"/>
  <c r="S40" i="10"/>
  <c r="B38" i="3"/>
  <c r="D38" i="3"/>
  <c r="C162" i="5"/>
  <c r="C187" i="5" s="1"/>
  <c r="U72" i="3"/>
  <c r="G73" i="3"/>
  <c r="F153" i="5"/>
  <c r="F178" i="5" s="1"/>
  <c r="K173" i="5"/>
  <c r="K82" i="5"/>
  <c r="I152" i="5"/>
  <c r="I177" i="5" s="1"/>
  <c r="I143" i="5"/>
  <c r="K151" i="5"/>
  <c r="K156" i="5"/>
  <c r="K181" i="5" s="1"/>
  <c r="K154" i="5"/>
  <c r="K179" i="5" s="1"/>
  <c r="K149" i="5"/>
  <c r="K174" i="5" s="1"/>
  <c r="K122" i="5"/>
  <c r="K123" i="5" s="1"/>
  <c r="K150" i="5"/>
  <c r="K155" i="5"/>
  <c r="K180" i="5" s="1"/>
  <c r="K160" i="5"/>
  <c r="K185" i="5" s="1"/>
  <c r="K147" i="5"/>
  <c r="K172" i="5" s="1"/>
  <c r="K162" i="5"/>
  <c r="K187" i="5" s="1"/>
  <c r="K158" i="5"/>
  <c r="K183" i="5" s="1"/>
  <c r="K152" i="5"/>
  <c r="K177" i="5" s="1"/>
  <c r="B29" i="7"/>
  <c r="B28" i="7"/>
  <c r="BA26" i="10"/>
  <c r="BA39" i="10"/>
  <c r="F36" i="7"/>
  <c r="E25" i="8"/>
  <c r="E38" i="8"/>
  <c r="AD26" i="10"/>
  <c r="N26" i="10"/>
  <c r="N39" i="10"/>
  <c r="AE36" i="10"/>
  <c r="BK30" i="10"/>
  <c r="BK31" i="10"/>
  <c r="BK32" i="10"/>
  <c r="BK25" i="10"/>
  <c r="BK26" i="10" s="1"/>
  <c r="BK27" i="10"/>
  <c r="BK29" i="10"/>
  <c r="J26" i="8"/>
  <c r="J34" i="8" s="1"/>
  <c r="J37" i="8"/>
  <c r="AY35" i="10"/>
  <c r="AY36" i="10"/>
  <c r="AY38" i="10"/>
  <c r="AY33" i="10"/>
  <c r="O30" i="11"/>
  <c r="O39" i="11"/>
  <c r="O43" i="11" s="1"/>
  <c r="AJ30" i="11"/>
  <c r="AJ39" i="11"/>
  <c r="D35" i="8"/>
  <c r="D36" i="8" s="1"/>
  <c r="AB39" i="11"/>
  <c r="AB43" i="11" s="1"/>
  <c r="AB30" i="11"/>
  <c r="BE42" i="11"/>
  <c r="K31" i="11"/>
  <c r="AF30" i="11"/>
  <c r="AF39" i="11"/>
  <c r="AF43" i="11" s="1"/>
  <c r="AX40" i="10"/>
  <c r="BA30" i="11"/>
  <c r="H62" i="2"/>
  <c r="C55" i="2"/>
  <c r="C54" i="2"/>
  <c r="C60" i="2" s="1"/>
  <c r="C56" i="2"/>
  <c r="L54" i="12"/>
  <c r="T48" i="12"/>
  <c r="T37" i="12"/>
  <c r="T36" i="12"/>
  <c r="BA43" i="11"/>
  <c r="M43" i="2"/>
  <c r="M52" i="2" s="1"/>
  <c r="M64" i="2" s="1"/>
  <c r="M45" i="2"/>
  <c r="M42" i="2"/>
  <c r="M51" i="2"/>
  <c r="M44" i="2"/>
  <c r="M49" i="2"/>
  <c r="M58" i="2" s="1"/>
  <c r="M40" i="2"/>
  <c r="M57" i="2" s="1"/>
  <c r="M41" i="2"/>
  <c r="M48" i="2"/>
  <c r="B53" i="11"/>
  <c r="B54" i="11" s="1"/>
  <c r="G40" i="12"/>
  <c r="R53" i="11"/>
  <c r="R54" i="11" s="1"/>
  <c r="D44" i="2"/>
  <c r="I36" i="10"/>
  <c r="J40" i="12"/>
  <c r="J49" i="12"/>
  <c r="J53" i="12" s="1"/>
  <c r="K52" i="2"/>
  <c r="K64" i="2" s="1"/>
  <c r="C39" i="12"/>
  <c r="C50" i="12"/>
  <c r="C54" i="12" s="1"/>
  <c r="Q49" i="12"/>
  <c r="Q53" i="12" s="1"/>
  <c r="Q40" i="12"/>
  <c r="L94" i="18"/>
  <c r="L98" i="18"/>
  <c r="L111" i="18" s="1"/>
  <c r="D143" i="5"/>
  <c r="F147" i="5"/>
  <c r="F172" i="5" s="1"/>
  <c r="F152" i="5"/>
  <c r="F177" i="5" s="1"/>
  <c r="F156" i="5"/>
  <c r="F181" i="5" s="1"/>
  <c r="F160" i="5"/>
  <c r="F185" i="5" s="1"/>
  <c r="F149" i="5"/>
  <c r="F174" i="5" s="1"/>
  <c r="F150" i="5"/>
  <c r="F154" i="5"/>
  <c r="F179" i="5" s="1"/>
  <c r="F158" i="5"/>
  <c r="F183" i="5" s="1"/>
  <c r="F146" i="5"/>
  <c r="F122" i="5"/>
  <c r="F123" i="5" s="1"/>
  <c r="F148" i="5"/>
  <c r="F162" i="5"/>
  <c r="F187" i="5" s="1"/>
  <c r="AH26" i="10"/>
  <c r="AH39" i="10" s="1"/>
  <c r="AV30" i="11"/>
  <c r="AV39" i="11"/>
  <c r="H106" i="18"/>
  <c r="H107" i="18"/>
  <c r="D95" i="18"/>
  <c r="D108" i="18" s="1"/>
  <c r="I94" i="18"/>
  <c r="I90" i="18"/>
  <c r="F94" i="18"/>
  <c r="R40" i="3"/>
  <c r="N38" i="3"/>
  <c r="G95" i="18"/>
  <c r="G108" i="18" s="1"/>
  <c r="W58" i="3"/>
  <c r="W62" i="3"/>
  <c r="M52" i="3"/>
  <c r="M54" i="3" s="1"/>
  <c r="M56" i="3" s="1"/>
  <c r="M53" i="3"/>
  <c r="C152" i="5"/>
  <c r="C177" i="5" s="1"/>
  <c r="C143" i="5"/>
  <c r="H149" i="5"/>
  <c r="H174" i="5" s="1"/>
  <c r="I156" i="5"/>
  <c r="I181" i="5" s="1"/>
  <c r="G161" i="5"/>
  <c r="G186" i="5" s="1"/>
  <c r="C33" i="7"/>
  <c r="B21" i="7"/>
  <c r="B20" i="7"/>
  <c r="AZ26" i="10"/>
  <c r="AZ39" i="10" s="1"/>
  <c r="G25" i="8"/>
  <c r="AK26" i="10"/>
  <c r="AK39" i="10"/>
  <c r="B26" i="8"/>
  <c r="B34" i="8" s="1"/>
  <c r="B35" i="8"/>
  <c r="B36" i="8" s="1"/>
  <c r="B37" i="8"/>
  <c r="C26" i="8"/>
  <c r="C34" i="8" s="1"/>
  <c r="C37" i="8"/>
  <c r="W20" i="10"/>
  <c r="W21" i="10" s="1"/>
  <c r="W22" i="10" s="1"/>
  <c r="W25" i="10" s="1"/>
  <c r="AE30" i="10"/>
  <c r="AE34" i="10" s="1"/>
  <c r="AE26" i="10"/>
  <c r="AE35" i="10" s="1"/>
  <c r="AE31" i="10"/>
  <c r="AE32" i="10"/>
  <c r="AE29" i="10"/>
  <c r="AE25" i="10"/>
  <c r="BC20" i="10"/>
  <c r="BC21" i="10" s="1"/>
  <c r="BC22" i="10" s="1"/>
  <c r="BC25" i="10" s="1"/>
  <c r="P35" i="10"/>
  <c r="P36" i="10"/>
  <c r="AF35" i="10"/>
  <c r="AF36" i="10"/>
  <c r="AV35" i="10"/>
  <c r="AV36" i="10"/>
  <c r="T25" i="10"/>
  <c r="AY40" i="10"/>
  <c r="AV42" i="11"/>
  <c r="AV43" i="11"/>
  <c r="AJ42" i="11"/>
  <c r="AJ43" i="11"/>
  <c r="AZ42" i="11"/>
  <c r="R35" i="10"/>
  <c r="R36" i="10"/>
  <c r="R38" i="10"/>
  <c r="R40" i="10" s="1"/>
  <c r="R33" i="10"/>
  <c r="R34" i="10"/>
  <c r="G30" i="11"/>
  <c r="G39" i="11"/>
  <c r="G43" i="11" s="1"/>
  <c r="B39" i="12"/>
  <c r="B45" i="12"/>
  <c r="B50" i="12"/>
  <c r="B54" i="12" s="1"/>
  <c r="N40" i="12"/>
  <c r="N49" i="12"/>
  <c r="N53" i="12" s="1"/>
  <c r="H48" i="2"/>
  <c r="AP35" i="10"/>
  <c r="D53" i="12"/>
  <c r="G54" i="12"/>
  <c r="K65" i="2"/>
  <c r="C40" i="12"/>
  <c r="C49" i="12"/>
  <c r="Q50" i="12"/>
  <c r="Q54" i="12" s="1"/>
  <c r="Q39" i="12"/>
  <c r="B91" i="18"/>
  <c r="B103" i="18" s="1"/>
  <c r="B99" i="18"/>
  <c r="B112" i="18" s="1"/>
  <c r="D94" i="18"/>
  <c r="D93" i="18"/>
  <c r="D105" i="18" s="1"/>
  <c r="D98" i="18"/>
  <c r="D111" i="18" s="1"/>
  <c r="D96" i="18"/>
  <c r="D109" i="18" s="1"/>
  <c r="D90" i="18"/>
  <c r="E73" i="3"/>
  <c r="E72" i="3"/>
  <c r="C35" i="7"/>
  <c r="C32" i="7"/>
  <c r="C37" i="7"/>
  <c r="C42" i="11"/>
  <c r="K102" i="18"/>
  <c r="K100" i="18"/>
  <c r="J102" i="18"/>
  <c r="J100" i="18"/>
  <c r="E106" i="18"/>
  <c r="E107" i="18"/>
  <c r="H95" i="18"/>
  <c r="H108" i="18" s="1"/>
  <c r="D99" i="18"/>
  <c r="D112" i="18" s="1"/>
  <c r="U52" i="3"/>
  <c r="U54" i="3" s="1"/>
  <c r="U56" i="3" s="1"/>
  <c r="L93" i="18"/>
  <c r="L105" i="18" s="1"/>
  <c r="H90" i="18"/>
  <c r="I92" i="18"/>
  <c r="I104" i="18" s="1"/>
  <c r="K97" i="18"/>
  <c r="K110" i="18" s="1"/>
  <c r="M93" i="18"/>
  <c r="M105" i="18" s="1"/>
  <c r="B94" i="18"/>
  <c r="I96" i="18"/>
  <c r="I109" i="18" s="1"/>
  <c r="I91" i="18"/>
  <c r="I103" i="18" s="1"/>
  <c r="E90" i="18"/>
  <c r="E92" i="18"/>
  <c r="E104" i="18" s="1"/>
  <c r="C92" i="18"/>
  <c r="C104" i="18" s="1"/>
  <c r="F93" i="18"/>
  <c r="F105" i="18" s="1"/>
  <c r="F99" i="18"/>
  <c r="F112" i="18" s="1"/>
  <c r="C96" i="18"/>
  <c r="C109" i="18" s="1"/>
  <c r="T38" i="3"/>
  <c r="R51" i="3"/>
  <c r="E152" i="5"/>
  <c r="E177" i="5" s="1"/>
  <c r="E143" i="5"/>
  <c r="E52" i="3"/>
  <c r="E54" i="3" s="1"/>
  <c r="E56" i="3" s="1"/>
  <c r="W63" i="3"/>
  <c r="G58" i="3"/>
  <c r="G62" i="3"/>
  <c r="E71" i="3"/>
  <c r="O58" i="3"/>
  <c r="O62" i="3"/>
  <c r="L159" i="5"/>
  <c r="L184" i="5" s="1"/>
  <c r="E162" i="5"/>
  <c r="E187" i="5" s="1"/>
  <c r="G153" i="5"/>
  <c r="G178" i="5" s="1"/>
  <c r="G143" i="5"/>
  <c r="F155" i="5"/>
  <c r="F180" i="5" s="1"/>
  <c r="D20" i="7"/>
  <c r="J161" i="5"/>
  <c r="J186" i="5" s="1"/>
  <c r="D27" i="7"/>
  <c r="B24" i="7"/>
  <c r="B31" i="7"/>
  <c r="E33" i="7"/>
  <c r="E34" i="7" s="1"/>
  <c r="F33" i="7"/>
  <c r="K25" i="8"/>
  <c r="K38" i="8"/>
  <c r="M26" i="10"/>
  <c r="M39" i="10" s="1"/>
  <c r="AS26" i="10"/>
  <c r="AS39" i="10" s="1"/>
  <c r="G23" i="10"/>
  <c r="G25" i="10" s="1"/>
  <c r="O28" i="10"/>
  <c r="AM23" i="10"/>
  <c r="AM25" i="10" s="1"/>
  <c r="AU28" i="10"/>
  <c r="H37" i="8"/>
  <c r="H26" i="8"/>
  <c r="H34" i="8" s="1"/>
  <c r="H35" i="8"/>
  <c r="H36" i="8" s="1"/>
  <c r="E37" i="7"/>
  <c r="E38" i="7"/>
  <c r="B39" i="10"/>
  <c r="AV31" i="11"/>
  <c r="AJ31" i="11"/>
  <c r="AA35" i="10"/>
  <c r="AA36" i="10"/>
  <c r="AA38" i="10"/>
  <c r="AA33" i="10"/>
  <c r="AK30" i="11"/>
  <c r="L35" i="8"/>
  <c r="L36" i="8" s="1"/>
  <c r="AG38" i="10"/>
  <c r="AG40" i="10" s="1"/>
  <c r="AG33" i="10"/>
  <c r="AG34" i="10"/>
  <c r="AG35" i="10"/>
  <c r="AY34" i="10"/>
  <c r="AZ31" i="11"/>
  <c r="AN42" i="11"/>
  <c r="AN43" i="11"/>
  <c r="F46" i="2"/>
  <c r="F40" i="2"/>
  <c r="F57" i="2" s="1"/>
  <c r="F48" i="2"/>
  <c r="F45" i="2"/>
  <c r="F51" i="2"/>
  <c r="F65" i="2" s="1"/>
  <c r="F39" i="2"/>
  <c r="F47" i="2"/>
  <c r="F44" i="2"/>
  <c r="F43" i="2"/>
  <c r="F52" i="2" s="1"/>
  <c r="F64" i="2" s="1"/>
  <c r="I42" i="2"/>
  <c r="J39" i="12"/>
  <c r="J50" i="12"/>
  <c r="J54" i="12" s="1"/>
  <c r="Y53" i="11"/>
  <c r="Y54" i="11"/>
  <c r="C64" i="2"/>
  <c r="G39" i="12"/>
  <c r="G50" i="12"/>
  <c r="AA42" i="11"/>
  <c r="H40" i="2"/>
  <c r="H57" i="2" s="1"/>
  <c r="G45" i="2"/>
  <c r="J45" i="12"/>
  <c r="O35" i="10"/>
  <c r="O36" i="10"/>
  <c r="T31" i="11"/>
  <c r="T38" i="11"/>
  <c r="T42" i="11" s="1"/>
  <c r="AB31" i="11"/>
  <c r="AB38" i="11"/>
  <c r="AB42" i="11" s="1"/>
  <c r="L95" i="18"/>
  <c r="L108" i="18" s="1"/>
  <c r="B97" i="18"/>
  <c r="B110" i="18" s="1"/>
  <c r="B90" i="18"/>
  <c r="F91" i="18"/>
  <c r="F103" i="18" s="1"/>
  <c r="F96" i="18"/>
  <c r="F109" i="18" s="1"/>
  <c r="E156" i="5"/>
  <c r="E181" i="5" s="1"/>
  <c r="W65" i="3"/>
  <c r="C158" i="5"/>
  <c r="C183" i="5" s="1"/>
  <c r="C160" i="5"/>
  <c r="C185" i="5" s="1"/>
  <c r="D121" i="5"/>
  <c r="D146" i="5" s="1"/>
  <c r="I150" i="5"/>
  <c r="I146" i="5"/>
  <c r="I148" i="5"/>
  <c r="I162" i="5"/>
  <c r="I187" i="5" s="1"/>
  <c r="I159" i="5"/>
  <c r="I184" i="5" s="1"/>
  <c r="I122" i="5"/>
  <c r="I123" i="5" s="1"/>
  <c r="I161" i="5"/>
  <c r="I186" i="5" s="1"/>
  <c r="I155" i="5"/>
  <c r="I180" i="5" s="1"/>
  <c r="I151" i="5"/>
  <c r="F161" i="5"/>
  <c r="F186" i="5" s="1"/>
  <c r="J173" i="5"/>
  <c r="J82" i="5"/>
  <c r="G121" i="5"/>
  <c r="G159" i="5" s="1"/>
  <c r="G184" i="5" s="1"/>
  <c r="I157" i="5"/>
  <c r="I182" i="5" s="1"/>
  <c r="L171" i="5"/>
  <c r="B27" i="7"/>
  <c r="B23" i="7"/>
  <c r="F35" i="7"/>
  <c r="F32" i="7"/>
  <c r="AJ26" i="10"/>
  <c r="AJ39" i="10" s="1"/>
  <c r="W30" i="10"/>
  <c r="W24" i="10"/>
  <c r="W31" i="10"/>
  <c r="W32" i="10"/>
  <c r="W29" i="10"/>
  <c r="BC29" i="10"/>
  <c r="BC30" i="10"/>
  <c r="BC31" i="10"/>
  <c r="BC32" i="10"/>
  <c r="BC24" i="10"/>
  <c r="BH25" i="10"/>
  <c r="Q26" i="10"/>
  <c r="Q39" i="10" s="1"/>
  <c r="V30" i="11"/>
  <c r="V39" i="11"/>
  <c r="V43" i="11" s="1"/>
  <c r="E36" i="7"/>
  <c r="B38" i="10"/>
  <c r="B33" i="10"/>
  <c r="B34" i="10"/>
  <c r="C30" i="11"/>
  <c r="C39" i="11"/>
  <c r="C43" i="11" s="1"/>
  <c r="AZ30" i="11"/>
  <c r="AZ39" i="11"/>
  <c r="AZ43" i="11" s="1"/>
  <c r="AA40" i="10"/>
  <c r="B35" i="10"/>
  <c r="BE30" i="11"/>
  <c r="BE39" i="11"/>
  <c r="BE43" i="11" s="1"/>
  <c r="U34" i="10"/>
  <c r="BN35" i="10"/>
  <c r="BN36" i="10"/>
  <c r="BN38" i="10"/>
  <c r="BN40" i="10" s="1"/>
  <c r="BN33" i="10"/>
  <c r="BN34" i="10"/>
  <c r="AQ34" i="10"/>
  <c r="AN31" i="11"/>
  <c r="L40" i="2"/>
  <c r="L57" i="2" s="1"/>
  <c r="L48" i="2"/>
  <c r="L42" i="2"/>
  <c r="L51" i="2"/>
  <c r="L65" i="2" s="1"/>
  <c r="L39" i="2"/>
  <c r="L47" i="2"/>
  <c r="L41" i="2"/>
  <c r="L49" i="2"/>
  <c r="L58" i="2" s="1"/>
  <c r="L45" i="2"/>
  <c r="L46" i="2"/>
  <c r="J65" i="2"/>
  <c r="R39" i="12"/>
  <c r="R50" i="12"/>
  <c r="R54" i="12" s="1"/>
  <c r="S39" i="12"/>
  <c r="S50" i="12"/>
  <c r="AW36" i="10"/>
  <c r="AW38" i="10"/>
  <c r="AW40" i="10" s="1"/>
  <c r="AW33" i="10"/>
  <c r="AW34" i="10"/>
  <c r="AW35" i="10"/>
  <c r="AA31" i="11"/>
  <c r="Z53" i="11"/>
  <c r="Z54" i="11" s="1"/>
  <c r="V36" i="12"/>
  <c r="V48" i="12"/>
  <c r="V37" i="12"/>
  <c r="D39" i="12"/>
  <c r="D50" i="12"/>
  <c r="D54" i="12" s="1"/>
  <c r="AM26" i="10" l="1"/>
  <c r="BK33" i="10"/>
  <c r="BK38" i="10"/>
  <c r="AU39" i="10"/>
  <c r="AU26" i="10"/>
  <c r="G26" i="10"/>
  <c r="W26" i="10"/>
  <c r="D171" i="5"/>
  <c r="BC26" i="10"/>
  <c r="F60" i="2"/>
  <c r="F62" i="2"/>
  <c r="AK40" i="10"/>
  <c r="K39" i="12"/>
  <c r="K50" i="12"/>
  <c r="C102" i="18"/>
  <c r="C100" i="18"/>
  <c r="H82" i="5"/>
  <c r="H173" i="5"/>
  <c r="BI33" i="10"/>
  <c r="BI35" i="10"/>
  <c r="BI36" i="10"/>
  <c r="BI38" i="10"/>
  <c r="BI34" i="10"/>
  <c r="L56" i="2"/>
  <c r="L55" i="2"/>
  <c r="I173" i="5"/>
  <c r="I82" i="5"/>
  <c r="F56" i="2"/>
  <c r="F55" i="2"/>
  <c r="F54" i="2"/>
  <c r="F59" i="2" s="1"/>
  <c r="E53" i="3"/>
  <c r="B59" i="12"/>
  <c r="B58" i="12"/>
  <c r="B57" i="12"/>
  <c r="T26" i="10"/>
  <c r="AK33" i="10"/>
  <c r="AK35" i="10"/>
  <c r="AK36" i="10"/>
  <c r="AK38" i="10"/>
  <c r="AK34" i="10"/>
  <c r="I106" i="18"/>
  <c r="I107" i="18"/>
  <c r="F171" i="5"/>
  <c r="F164" i="5"/>
  <c r="F165" i="5" s="1"/>
  <c r="F163" i="5"/>
  <c r="C59" i="12"/>
  <c r="C58" i="12"/>
  <c r="C45" i="12"/>
  <c r="C57" i="12"/>
  <c r="BA33" i="10"/>
  <c r="BA35" i="10"/>
  <c r="BA36" i="10"/>
  <c r="BA38" i="10"/>
  <c r="BA34" i="10"/>
  <c r="L53" i="11"/>
  <c r="L54" i="11"/>
  <c r="K54" i="2"/>
  <c r="E54" i="2"/>
  <c r="E61" i="2" s="1"/>
  <c r="H49" i="12"/>
  <c r="H53" i="12" s="1"/>
  <c r="H40" i="12"/>
  <c r="U37" i="8"/>
  <c r="U26" i="8"/>
  <c r="U34" i="8" s="1"/>
  <c r="V46" i="3"/>
  <c r="V45" i="3"/>
  <c r="V44" i="3"/>
  <c r="V48" i="3"/>
  <c r="V51" i="3"/>
  <c r="V40" i="3"/>
  <c r="V59" i="3"/>
  <c r="V57" i="3"/>
  <c r="V47" i="3"/>
  <c r="V60" i="3"/>
  <c r="V43" i="3"/>
  <c r="V55" i="3"/>
  <c r="V70" i="3" s="1"/>
  <c r="S49" i="3"/>
  <c r="S50" i="3" s="1"/>
  <c r="S58" i="3"/>
  <c r="I56" i="2"/>
  <c r="I54" i="2"/>
  <c r="I55" i="2"/>
  <c r="H38" i="10"/>
  <c r="H33" i="10"/>
  <c r="H34" i="10"/>
  <c r="B166" i="5"/>
  <c r="J54" i="2"/>
  <c r="E60" i="2"/>
  <c r="BL39" i="10"/>
  <c r="BJ33" i="10"/>
  <c r="BJ35" i="10"/>
  <c r="BJ36" i="10"/>
  <c r="BJ38" i="10"/>
  <c r="BJ34" i="10"/>
  <c r="BD39" i="10"/>
  <c r="AV38" i="10"/>
  <c r="AV33" i="10"/>
  <c r="AV34" i="10"/>
  <c r="H41" i="3"/>
  <c r="H68" i="3"/>
  <c r="H67" i="3"/>
  <c r="J164" i="5"/>
  <c r="J171" i="5"/>
  <c r="J163" i="5"/>
  <c r="R59" i="12"/>
  <c r="R58" i="12"/>
  <c r="R57" i="12"/>
  <c r="L163" i="5"/>
  <c r="AS33" i="10"/>
  <c r="AS35" i="10"/>
  <c r="AS36" i="10"/>
  <c r="AS38" i="10"/>
  <c r="AS40" i="10" s="1"/>
  <c r="AS34" i="10"/>
  <c r="B33" i="7"/>
  <c r="BL36" i="10"/>
  <c r="G26" i="8"/>
  <c r="G34" i="8" s="1"/>
  <c r="G35" i="8"/>
  <c r="G36" i="8" s="1"/>
  <c r="G37" i="8"/>
  <c r="T49" i="12"/>
  <c r="T53" i="12" s="1"/>
  <c r="T40" i="12"/>
  <c r="BK35" i="10"/>
  <c r="BK36" i="10"/>
  <c r="AR33" i="10"/>
  <c r="AR38" i="10"/>
  <c r="AR40" i="10" s="1"/>
  <c r="AR34" i="10"/>
  <c r="AR36" i="10"/>
  <c r="AR35" i="10"/>
  <c r="K54" i="12"/>
  <c r="E64" i="2"/>
  <c r="D148" i="5"/>
  <c r="E39" i="12"/>
  <c r="E50" i="12"/>
  <c r="E54" i="12" s="1"/>
  <c r="I59" i="12"/>
  <c r="I58" i="12"/>
  <c r="I57" i="12"/>
  <c r="M40" i="12"/>
  <c r="M49" i="12"/>
  <c r="D60" i="2"/>
  <c r="D62" i="2"/>
  <c r="N62" i="2"/>
  <c r="BD36" i="10"/>
  <c r="O34" i="10"/>
  <c r="F46" i="3"/>
  <c r="F45" i="3"/>
  <c r="F44" i="3"/>
  <c r="F48" i="3"/>
  <c r="F57" i="3"/>
  <c r="F59" i="3"/>
  <c r="F51" i="3"/>
  <c r="F40" i="3"/>
  <c r="F60" i="3"/>
  <c r="F47" i="3"/>
  <c r="F43" i="3"/>
  <c r="F55" i="3"/>
  <c r="F70" i="3" s="1"/>
  <c r="I65" i="2"/>
  <c r="G52" i="2"/>
  <c r="G64" i="2" s="1"/>
  <c r="H39" i="10"/>
  <c r="K164" i="5"/>
  <c r="K165" i="5" s="1"/>
  <c r="B171" i="5"/>
  <c r="B164" i="5"/>
  <c r="B165" i="5" s="1"/>
  <c r="B163" i="5"/>
  <c r="C173" i="5"/>
  <c r="C82" i="5"/>
  <c r="AF38" i="10"/>
  <c r="AF33" i="10"/>
  <c r="AF34" i="10"/>
  <c r="E164" i="5"/>
  <c r="E165" i="5" s="1"/>
  <c r="E171" i="5"/>
  <c r="E163" i="5"/>
  <c r="X38" i="10"/>
  <c r="X33" i="10"/>
  <c r="X34" i="10"/>
  <c r="AV39" i="10"/>
  <c r="BB33" i="10"/>
  <c r="BB38" i="10"/>
  <c r="BB40" i="10" s="1"/>
  <c r="BB34" i="10"/>
  <c r="BB35" i="10"/>
  <c r="BB36" i="10"/>
  <c r="H61" i="3"/>
  <c r="H65" i="3" s="1"/>
  <c r="L62" i="2"/>
  <c r="I102" i="18"/>
  <c r="I100" i="18"/>
  <c r="U39" i="12"/>
  <c r="U50" i="12"/>
  <c r="M35" i="8"/>
  <c r="M36" i="8" s="1"/>
  <c r="M37" i="8"/>
  <c r="M26" i="8"/>
  <c r="M34" i="8" s="1"/>
  <c r="E33" i="10"/>
  <c r="E34" i="10"/>
  <c r="E35" i="10"/>
  <c r="E36" i="10"/>
  <c r="E38" i="10"/>
  <c r="I171" i="5"/>
  <c r="I164" i="5"/>
  <c r="I165" i="5" s="1"/>
  <c r="I163" i="5"/>
  <c r="V40" i="12"/>
  <c r="V49" i="12"/>
  <c r="V53" i="12" s="1"/>
  <c r="BC34" i="10"/>
  <c r="W34" i="10"/>
  <c r="L164" i="5"/>
  <c r="L165" i="5" s="1"/>
  <c r="I166" i="5"/>
  <c r="J59" i="12"/>
  <c r="J57" i="12"/>
  <c r="J58" i="12"/>
  <c r="H102" i="18"/>
  <c r="H100" i="18"/>
  <c r="D102" i="18"/>
  <c r="D100" i="18"/>
  <c r="Q59" i="12"/>
  <c r="Q58" i="12"/>
  <c r="Q57" i="12"/>
  <c r="Q45" i="12"/>
  <c r="AE39" i="10"/>
  <c r="C35" i="8"/>
  <c r="C36" i="8" s="1"/>
  <c r="N46" i="3"/>
  <c r="N45" i="3"/>
  <c r="N44" i="3"/>
  <c r="N48" i="3"/>
  <c r="N57" i="3"/>
  <c r="N40" i="3"/>
  <c r="N59" i="3"/>
  <c r="N43" i="3"/>
  <c r="N51" i="3"/>
  <c r="N60" i="3"/>
  <c r="N47" i="3"/>
  <c r="N55" i="3"/>
  <c r="N70" i="3" s="1"/>
  <c r="M65" i="2"/>
  <c r="N33" i="10"/>
  <c r="N35" i="10"/>
  <c r="N36" i="10"/>
  <c r="N38" i="10"/>
  <c r="N40" i="10" s="1"/>
  <c r="N34" i="10"/>
  <c r="D45" i="3"/>
  <c r="D44" i="3"/>
  <c r="D48" i="3"/>
  <c r="D40" i="3"/>
  <c r="D43" i="3"/>
  <c r="D47" i="3"/>
  <c r="D51" i="3"/>
  <c r="D55" i="3"/>
  <c r="D70" i="3" s="1"/>
  <c r="D60" i="3"/>
  <c r="D57" i="3"/>
  <c r="D46" i="3"/>
  <c r="D59" i="3"/>
  <c r="N58" i="12"/>
  <c r="N57" i="12"/>
  <c r="N59" i="12"/>
  <c r="H64" i="2"/>
  <c r="Y36" i="10"/>
  <c r="Y38" i="10"/>
  <c r="Y40" i="10" s="1"/>
  <c r="Y33" i="10"/>
  <c r="Y34" i="10"/>
  <c r="Y35" i="10"/>
  <c r="D64" i="2"/>
  <c r="M106" i="18"/>
  <c r="M107" i="18"/>
  <c r="L100" i="18"/>
  <c r="L102" i="18"/>
  <c r="M54" i="12"/>
  <c r="M53" i="12"/>
  <c r="D54" i="2"/>
  <c r="D61" i="2" s="1"/>
  <c r="D55" i="2"/>
  <c r="D56" i="2"/>
  <c r="N56" i="2"/>
  <c r="N55" i="2"/>
  <c r="N54" i="2"/>
  <c r="N59" i="2" s="1"/>
  <c r="BE36" i="10"/>
  <c r="BE38" i="10"/>
  <c r="BE40" i="10" s="1"/>
  <c r="BE33" i="10"/>
  <c r="BE34" i="10"/>
  <c r="BE35" i="10"/>
  <c r="AU34" i="10"/>
  <c r="L166" i="5"/>
  <c r="L45" i="3"/>
  <c r="L44" i="3"/>
  <c r="L48" i="3"/>
  <c r="L40" i="3"/>
  <c r="L43" i="3"/>
  <c r="L47" i="3"/>
  <c r="L51" i="3"/>
  <c r="L55" i="3"/>
  <c r="L70" i="3" s="1"/>
  <c r="L60" i="3"/>
  <c r="L59" i="3"/>
  <c r="L46" i="3"/>
  <c r="L57" i="3"/>
  <c r="AF39" i="10"/>
  <c r="AT33" i="10"/>
  <c r="AT35" i="10"/>
  <c r="AT36" i="10"/>
  <c r="AT38" i="10"/>
  <c r="AT40" i="10" s="1"/>
  <c r="AT34" i="10"/>
  <c r="G107" i="18"/>
  <c r="G106" i="18"/>
  <c r="E166" i="5"/>
  <c r="X39" i="10"/>
  <c r="X40" i="10" s="1"/>
  <c r="B55" i="2"/>
  <c r="B56" i="2"/>
  <c r="B65" i="2"/>
  <c r="BA40" i="10"/>
  <c r="P49" i="12"/>
  <c r="P53" i="12" s="1"/>
  <c r="P40" i="12"/>
  <c r="M100" i="18"/>
  <c r="M102" i="18"/>
  <c r="K163" i="5"/>
  <c r="B173" i="5"/>
  <c r="B82" i="5"/>
  <c r="D150" i="5"/>
  <c r="D152" i="5"/>
  <c r="D177" i="5" s="1"/>
  <c r="D160" i="5"/>
  <c r="D185" i="5" s="1"/>
  <c r="D161" i="5"/>
  <c r="D186" i="5" s="1"/>
  <c r="D156" i="5"/>
  <c r="D181" i="5" s="1"/>
  <c r="D122" i="5"/>
  <c r="D123" i="5" s="1"/>
  <c r="D162" i="5"/>
  <c r="D187" i="5" s="1"/>
  <c r="D159" i="5"/>
  <c r="D184" i="5" s="1"/>
  <c r="D153" i="5"/>
  <c r="D178" i="5" s="1"/>
  <c r="D151" i="5"/>
  <c r="D154" i="5"/>
  <c r="D179" i="5" s="1"/>
  <c r="D147" i="5"/>
  <c r="D172" i="5" s="1"/>
  <c r="D157" i="5"/>
  <c r="D182" i="5" s="1"/>
  <c r="D149" i="5"/>
  <c r="D174" i="5" s="1"/>
  <c r="D155" i="5"/>
  <c r="D180" i="5" s="1"/>
  <c r="D158" i="5"/>
  <c r="D183" i="5" s="1"/>
  <c r="L52" i="2"/>
  <c r="L64" i="2" s="1"/>
  <c r="M33" i="10"/>
  <c r="M35" i="10"/>
  <c r="M36" i="10"/>
  <c r="M38" i="10"/>
  <c r="M40" i="10" s="1"/>
  <c r="M34" i="10"/>
  <c r="E102" i="18"/>
  <c r="E100" i="18"/>
  <c r="AZ33" i="10"/>
  <c r="AZ36" i="10"/>
  <c r="AZ38" i="10"/>
  <c r="AZ40" i="10" s="1"/>
  <c r="AZ35" i="10"/>
  <c r="AZ34" i="10"/>
  <c r="R41" i="3"/>
  <c r="R42" i="3" s="1"/>
  <c r="R49" i="3" s="1"/>
  <c r="R50" i="3" s="1"/>
  <c r="R67" i="3"/>
  <c r="R68" i="3"/>
  <c r="AH38" i="10"/>
  <c r="AH40" i="10" s="1"/>
  <c r="AH33" i="10"/>
  <c r="AH34" i="10"/>
  <c r="AH35" i="10"/>
  <c r="AH36" i="10"/>
  <c r="BK39" i="10"/>
  <c r="BK40" i="10" s="1"/>
  <c r="AD33" i="10"/>
  <c r="AD35" i="10"/>
  <c r="AD36" i="10"/>
  <c r="AD38" i="10"/>
  <c r="AD40" i="10" s="1"/>
  <c r="AD34" i="10"/>
  <c r="B44" i="3"/>
  <c r="B48" i="3"/>
  <c r="B43" i="3"/>
  <c r="B47" i="3"/>
  <c r="B46" i="3"/>
  <c r="B57" i="3"/>
  <c r="B59" i="3"/>
  <c r="B60" i="3"/>
  <c r="B55" i="3"/>
  <c r="B45" i="3"/>
  <c r="B51" i="3"/>
  <c r="B40" i="3"/>
  <c r="F36" i="12"/>
  <c r="F48" i="12"/>
  <c r="F42" i="12"/>
  <c r="F51" i="12" s="1"/>
  <c r="F37" i="12"/>
  <c r="U40" i="12"/>
  <c r="U45" i="12" s="1"/>
  <c r="U49" i="12"/>
  <c r="U53" i="12" s="1"/>
  <c r="L82" i="5"/>
  <c r="L173" i="5"/>
  <c r="J44" i="3"/>
  <c r="J48" i="3"/>
  <c r="J43" i="3"/>
  <c r="J47" i="3"/>
  <c r="J46" i="3"/>
  <c r="J57" i="3"/>
  <c r="J59" i="3"/>
  <c r="J60" i="3"/>
  <c r="J55" i="3"/>
  <c r="J70" i="3" s="1"/>
  <c r="J40" i="3"/>
  <c r="J45" i="3"/>
  <c r="J61" i="3" s="1"/>
  <c r="J51" i="3"/>
  <c r="K106" i="18"/>
  <c r="K113" i="18" s="1"/>
  <c r="K114" i="18" s="1"/>
  <c r="K107" i="18"/>
  <c r="M56" i="2"/>
  <c r="M55" i="2"/>
  <c r="M54" i="2"/>
  <c r="M61" i="2" s="1"/>
  <c r="M50" i="12"/>
  <c r="M39" i="12"/>
  <c r="M45" i="12"/>
  <c r="D65" i="2"/>
  <c r="N65" i="2"/>
  <c r="T37" i="8"/>
  <c r="T26" i="8"/>
  <c r="T34" i="8" s="1"/>
  <c r="J36" i="10"/>
  <c r="J38" i="10"/>
  <c r="J40" i="10" s="1"/>
  <c r="J33" i="10"/>
  <c r="J34" i="10"/>
  <c r="J35" i="10"/>
  <c r="I57" i="2"/>
  <c r="G54" i="2"/>
  <c r="G59" i="2" s="1"/>
  <c r="G55" i="2"/>
  <c r="G56" i="2"/>
  <c r="R37" i="8"/>
  <c r="R26" i="8"/>
  <c r="R34" i="8" s="1"/>
  <c r="M171" i="5"/>
  <c r="M164" i="5"/>
  <c r="M165" i="5" s="1"/>
  <c r="M163" i="5"/>
  <c r="R45" i="12"/>
  <c r="AB33" i="10"/>
  <c r="AB35" i="10"/>
  <c r="AB36" i="10"/>
  <c r="AB38" i="10"/>
  <c r="AB40" i="10" s="1"/>
  <c r="AB34" i="10"/>
  <c r="E173" i="5"/>
  <c r="E82" i="5"/>
  <c r="I35" i="8"/>
  <c r="I36" i="8" s="1"/>
  <c r="H42" i="3"/>
  <c r="H49" i="3" s="1"/>
  <c r="H50" i="3" s="1"/>
  <c r="H69" i="3"/>
  <c r="P38" i="10"/>
  <c r="P40" i="10" s="1"/>
  <c r="P33" i="10"/>
  <c r="P34" i="10"/>
  <c r="D59" i="12"/>
  <c r="D58" i="12"/>
  <c r="D45" i="12"/>
  <c r="D57" i="12"/>
  <c r="I60" i="2"/>
  <c r="I59" i="2"/>
  <c r="I61" i="2"/>
  <c r="I62" i="2"/>
  <c r="BJ40" i="10"/>
  <c r="G102" i="18"/>
  <c r="G100" i="18"/>
  <c r="Q36" i="10"/>
  <c r="Q38" i="10"/>
  <c r="Q40" i="10" s="1"/>
  <c r="Q33" i="10"/>
  <c r="Q34" i="10"/>
  <c r="Q35" i="10"/>
  <c r="AJ33" i="10"/>
  <c r="AJ35" i="10"/>
  <c r="AJ36" i="10"/>
  <c r="AJ38" i="10"/>
  <c r="AJ40" i="10" s="1"/>
  <c r="AJ34" i="10"/>
  <c r="R74" i="3"/>
  <c r="U53" i="3"/>
  <c r="F106" i="18"/>
  <c r="F107" i="18"/>
  <c r="L107" i="18"/>
  <c r="L106" i="18"/>
  <c r="H39" i="12"/>
  <c r="H50" i="12"/>
  <c r="H54" i="12" s="1"/>
  <c r="P40" i="3"/>
  <c r="P43" i="3"/>
  <c r="P47" i="3"/>
  <c r="P51" i="3"/>
  <c r="P57" i="3"/>
  <c r="P59" i="3"/>
  <c r="P46" i="3"/>
  <c r="P45" i="3"/>
  <c r="P55" i="3"/>
  <c r="P70" i="3" s="1"/>
  <c r="P60" i="3"/>
  <c r="P44" i="3"/>
  <c r="P48" i="3"/>
  <c r="O33" i="10"/>
  <c r="O38" i="10"/>
  <c r="D26" i="10"/>
  <c r="D39" i="10"/>
  <c r="G62" i="2"/>
  <c r="G60" i="2"/>
  <c r="AL33" i="10"/>
  <c r="AL38" i="10"/>
  <c r="AL40" i="10" s="1"/>
  <c r="AL34" i="10"/>
  <c r="V33" i="10"/>
  <c r="V38" i="10"/>
  <c r="V40" i="10" s="1"/>
  <c r="V35" i="10"/>
  <c r="V34" i="10"/>
  <c r="V36" i="10"/>
  <c r="K166" i="5"/>
  <c r="BL38" i="10"/>
  <c r="BL33" i="10"/>
  <c r="BL34" i="10"/>
  <c r="BD38" i="10"/>
  <c r="BD33" i="10"/>
  <c r="BD34" i="10"/>
  <c r="V50" i="12"/>
  <c r="V54" i="12" s="1"/>
  <c r="V39" i="12"/>
  <c r="K35" i="8"/>
  <c r="K36" i="8" s="1"/>
  <c r="K37" i="8"/>
  <c r="K26" i="8"/>
  <c r="K34" i="8" s="1"/>
  <c r="T45" i="3"/>
  <c r="T61" i="3" s="1"/>
  <c r="T44" i="3"/>
  <c r="T48" i="3"/>
  <c r="T40" i="3"/>
  <c r="T43" i="3"/>
  <c r="T47" i="3"/>
  <c r="T51" i="3"/>
  <c r="T55" i="3"/>
  <c r="T70" i="3" s="1"/>
  <c r="T60" i="3"/>
  <c r="T46" i="3"/>
  <c r="T59" i="3"/>
  <c r="T57" i="3"/>
  <c r="E26" i="8"/>
  <c r="E34" i="8" s="1"/>
  <c r="E37" i="8"/>
  <c r="K45" i="12"/>
  <c r="C61" i="2"/>
  <c r="H54" i="2"/>
  <c r="H59" i="2" s="1"/>
  <c r="AM34" i="10"/>
  <c r="G34" i="10"/>
  <c r="B25" i="7"/>
  <c r="N45" i="12"/>
  <c r="F33" i="10"/>
  <c r="F35" i="10"/>
  <c r="F36" i="10"/>
  <c r="F38" i="10"/>
  <c r="F40" i="10" s="1"/>
  <c r="F34" i="10"/>
  <c r="J107" i="18"/>
  <c r="J106" i="18"/>
  <c r="L59" i="12"/>
  <c r="L58" i="12"/>
  <c r="L57" i="12"/>
  <c r="L45" i="12"/>
  <c r="S72" i="3"/>
  <c r="S71" i="3"/>
  <c r="S73" i="3"/>
  <c r="M82" i="5"/>
  <c r="M173" i="5"/>
  <c r="V45" i="12"/>
  <c r="H74" i="3"/>
  <c r="B62" i="2"/>
  <c r="S59" i="12"/>
  <c r="S58" i="12"/>
  <c r="S57" i="12"/>
  <c r="T39" i="12"/>
  <c r="T50" i="12"/>
  <c r="T54" i="12" s="1"/>
  <c r="R63" i="3"/>
  <c r="C171" i="5"/>
  <c r="C164" i="5"/>
  <c r="C165" i="5" s="1"/>
  <c r="C163" i="5"/>
  <c r="S45" i="12"/>
  <c r="BH26" i="10"/>
  <c r="G147" i="5"/>
  <c r="G172" i="5" s="1"/>
  <c r="G149" i="5"/>
  <c r="G174" i="5" s="1"/>
  <c r="G150" i="5"/>
  <c r="G154" i="5"/>
  <c r="G179" i="5" s="1"/>
  <c r="G158" i="5"/>
  <c r="G183" i="5" s="1"/>
  <c r="G160" i="5"/>
  <c r="G185" i="5" s="1"/>
  <c r="G156" i="5"/>
  <c r="G181" i="5" s="1"/>
  <c r="G122" i="5"/>
  <c r="G123" i="5" s="1"/>
  <c r="G152" i="5"/>
  <c r="G177" i="5" s="1"/>
  <c r="G146" i="5"/>
  <c r="G151" i="5"/>
  <c r="G148" i="5"/>
  <c r="G162" i="5"/>
  <c r="G187" i="5" s="1"/>
  <c r="G58" i="12"/>
  <c r="G57" i="12"/>
  <c r="G59" i="12"/>
  <c r="W73" i="3"/>
  <c r="W72" i="3"/>
  <c r="W71" i="3"/>
  <c r="B102" i="18"/>
  <c r="B100" i="18"/>
  <c r="G45" i="12"/>
  <c r="B40" i="10"/>
  <c r="F34" i="7"/>
  <c r="B107" i="18"/>
  <c r="B106" i="18"/>
  <c r="D107" i="18"/>
  <c r="D106" i="18"/>
  <c r="AE33" i="10"/>
  <c r="AE38" i="10"/>
  <c r="C34" i="7"/>
  <c r="F173" i="5"/>
  <c r="F82" i="5"/>
  <c r="J35" i="8"/>
  <c r="J36" i="8" s="1"/>
  <c r="BK34" i="10"/>
  <c r="F102" i="18"/>
  <c r="F100" i="18"/>
  <c r="K40" i="12"/>
  <c r="K49" i="12"/>
  <c r="K53" i="12" s="1"/>
  <c r="P39" i="12"/>
  <c r="P50" i="12"/>
  <c r="P54" i="12" s="1"/>
  <c r="E65" i="2"/>
  <c r="H65" i="2"/>
  <c r="D25" i="7"/>
  <c r="D37" i="7" s="1"/>
  <c r="F166" i="5"/>
  <c r="E40" i="12"/>
  <c r="E49" i="12"/>
  <c r="E53" i="12" s="1"/>
  <c r="R69" i="3"/>
  <c r="U54" i="12"/>
  <c r="L26" i="10"/>
  <c r="L39" i="10" s="1"/>
  <c r="D57" i="2"/>
  <c r="N57" i="2"/>
  <c r="O39" i="10"/>
  <c r="E39" i="10"/>
  <c r="E40" i="10" s="1"/>
  <c r="AN38" i="10"/>
  <c r="AN40" i="10" s="1"/>
  <c r="AN33" i="10"/>
  <c r="AN34" i="10"/>
  <c r="S35" i="8"/>
  <c r="S36" i="8" s="1"/>
  <c r="H171" i="5"/>
  <c r="H164" i="5"/>
  <c r="H165" i="5" s="1"/>
  <c r="H163" i="5"/>
  <c r="BI39" i="10"/>
  <c r="BI40" i="10" s="1"/>
  <c r="R61" i="3"/>
  <c r="R65" i="3" s="1"/>
  <c r="B52" i="2"/>
  <c r="B64" i="2" s="1"/>
  <c r="H72" i="3" l="1"/>
  <c r="H71" i="3"/>
  <c r="H73" i="3"/>
  <c r="R52" i="3"/>
  <c r="R54" i="3" s="1"/>
  <c r="R56" i="3" s="1"/>
  <c r="R53" i="3"/>
  <c r="R72" i="3"/>
  <c r="R71" i="3"/>
  <c r="R73" i="3"/>
  <c r="K126" i="18"/>
  <c r="K139" i="18" s="1"/>
  <c r="K22" i="18" s="1"/>
  <c r="K52" i="18" s="1"/>
  <c r="K118" i="18"/>
  <c r="K131" i="18" s="1"/>
  <c r="K26" i="18" s="1"/>
  <c r="K124" i="18"/>
  <c r="K137" i="18" s="1"/>
  <c r="K20" i="18" s="1"/>
  <c r="K122" i="18"/>
  <c r="K135" i="18" s="1"/>
  <c r="K18" i="18" s="1"/>
  <c r="K116" i="18"/>
  <c r="K117" i="18"/>
  <c r="K130" i="18" s="1"/>
  <c r="K25" i="18" s="1"/>
  <c r="K51" i="18" s="1"/>
  <c r="K123" i="18"/>
  <c r="K136" i="18" s="1"/>
  <c r="K19" i="18" s="1"/>
  <c r="K125" i="18"/>
  <c r="K138" i="18" s="1"/>
  <c r="K21" i="18" s="1"/>
  <c r="K119" i="18"/>
  <c r="K132" i="18" s="1"/>
  <c r="K27" i="18" s="1"/>
  <c r="G61" i="2"/>
  <c r="E116" i="18"/>
  <c r="E113" i="18"/>
  <c r="E114" i="18" s="1"/>
  <c r="BH33" i="10"/>
  <c r="BH35" i="10"/>
  <c r="BH36" i="10"/>
  <c r="BH38" i="10"/>
  <c r="BH34" i="10"/>
  <c r="L168" i="5"/>
  <c r="L176" i="5" s="1"/>
  <c r="L167" i="5"/>
  <c r="L175" i="5" s="1"/>
  <c r="H40" i="10"/>
  <c r="N61" i="2"/>
  <c r="V69" i="3"/>
  <c r="K59" i="2"/>
  <c r="K61" i="2"/>
  <c r="K60" i="2"/>
  <c r="T33" i="10"/>
  <c r="T36" i="10"/>
  <c r="T38" i="10"/>
  <c r="T34" i="10"/>
  <c r="T35" i="10"/>
  <c r="K59" i="12"/>
  <c r="K58" i="12"/>
  <c r="K57" i="12"/>
  <c r="H60" i="2"/>
  <c r="H61" i="2"/>
  <c r="T63" i="3"/>
  <c r="B41" i="3"/>
  <c r="B42" i="3" s="1"/>
  <c r="B67" i="3"/>
  <c r="B68" i="3"/>
  <c r="B87" i="3"/>
  <c r="E167" i="5"/>
  <c r="E175" i="5" s="1"/>
  <c r="E168" i="5"/>
  <c r="E176" i="5" s="1"/>
  <c r="P59" i="12"/>
  <c r="P58" i="12"/>
  <c r="P57" i="12"/>
  <c r="BH39" i="10"/>
  <c r="BH40" i="10" s="1"/>
  <c r="J41" i="3"/>
  <c r="J42" i="3" s="1"/>
  <c r="J67" i="3"/>
  <c r="J68" i="3"/>
  <c r="J65" i="3"/>
  <c r="D38" i="7"/>
  <c r="B81" i="3"/>
  <c r="B74" i="3"/>
  <c r="AF40" i="10"/>
  <c r="N69" i="3"/>
  <c r="AE40" i="10"/>
  <c r="O40" i="10"/>
  <c r="B113" i="18"/>
  <c r="B114" i="18" s="1"/>
  <c r="B116" i="18" s="1"/>
  <c r="T59" i="12"/>
  <c r="T58" i="12"/>
  <c r="T57" i="12"/>
  <c r="T74" i="3"/>
  <c r="P42" i="3"/>
  <c r="P49" i="3" s="1"/>
  <c r="P50" i="3" s="1"/>
  <c r="P69" i="3"/>
  <c r="B61" i="3"/>
  <c r="B65" i="3" s="1"/>
  <c r="M113" i="18"/>
  <c r="M114" i="18" s="1"/>
  <c r="M116" i="18"/>
  <c r="G121" i="18"/>
  <c r="G134" i="18" s="1"/>
  <c r="G17" i="18" s="1"/>
  <c r="M166" i="5"/>
  <c r="L41" i="3"/>
  <c r="L68" i="3"/>
  <c r="L67" i="3"/>
  <c r="M121" i="18"/>
  <c r="M134" i="18" s="1"/>
  <c r="M17" i="18" s="1"/>
  <c r="N41" i="3"/>
  <c r="N42" i="3" s="1"/>
  <c r="N49" i="3" s="1"/>
  <c r="N50" i="3" s="1"/>
  <c r="N67" i="3"/>
  <c r="N68" i="3"/>
  <c r="AV40" i="10"/>
  <c r="F41" i="3"/>
  <c r="F42" i="3" s="1"/>
  <c r="F49" i="3" s="1"/>
  <c r="F50" i="3" s="1"/>
  <c r="F67" i="3"/>
  <c r="F68" i="3"/>
  <c r="N60" i="2"/>
  <c r="E58" i="12"/>
  <c r="E59" i="12"/>
  <c r="E45" i="12"/>
  <c r="E57" i="12"/>
  <c r="V41" i="3"/>
  <c r="V42" i="3" s="1"/>
  <c r="V49" i="3" s="1"/>
  <c r="V50" i="3" s="1"/>
  <c r="V67" i="3"/>
  <c r="V68" i="3"/>
  <c r="P45" i="12"/>
  <c r="G33" i="10"/>
  <c r="G38" i="10"/>
  <c r="G35" i="10"/>
  <c r="G36" i="10"/>
  <c r="M60" i="2"/>
  <c r="P41" i="3"/>
  <c r="P68" i="3"/>
  <c r="P67" i="3"/>
  <c r="J71" i="3"/>
  <c r="J73" i="3"/>
  <c r="J72" i="3"/>
  <c r="J74" i="3"/>
  <c r="H167" i="5"/>
  <c r="H175" i="5" s="1"/>
  <c r="C166" i="5"/>
  <c r="L33" i="10"/>
  <c r="L38" i="10"/>
  <c r="L40" i="10" s="1"/>
  <c r="L34" i="10"/>
  <c r="L36" i="10"/>
  <c r="L35" i="10"/>
  <c r="B120" i="18"/>
  <c r="B133" i="18" s="1"/>
  <c r="B28" i="18" s="1"/>
  <c r="B35" i="7"/>
  <c r="B32" i="7"/>
  <c r="B38" i="7"/>
  <c r="B37" i="7"/>
  <c r="H59" i="12"/>
  <c r="H58" i="12"/>
  <c r="H57" i="12"/>
  <c r="H45" i="12"/>
  <c r="H52" i="3"/>
  <c r="H54" i="3" s="1"/>
  <c r="H56" i="3" s="1"/>
  <c r="R35" i="8"/>
  <c r="R36" i="8" s="1"/>
  <c r="T35" i="8"/>
  <c r="T36" i="8" s="1"/>
  <c r="J63" i="3"/>
  <c r="B70" i="3"/>
  <c r="B79" i="3"/>
  <c r="M120" i="18"/>
  <c r="M133" i="18" s="1"/>
  <c r="M28" i="18" s="1"/>
  <c r="D63" i="3"/>
  <c r="D61" i="3"/>
  <c r="H113" i="18"/>
  <c r="H114" i="18" s="1"/>
  <c r="U58" i="12"/>
  <c r="U59" i="12"/>
  <c r="U57" i="12"/>
  <c r="F74" i="3"/>
  <c r="D173" i="5"/>
  <c r="D82" i="5"/>
  <c r="J165" i="5"/>
  <c r="J166" i="5"/>
  <c r="S53" i="3"/>
  <c r="S52" i="3"/>
  <c r="S54" i="3" s="1"/>
  <c r="S56" i="3" s="1"/>
  <c r="V74" i="3"/>
  <c r="BC33" i="10"/>
  <c r="BC38" i="10"/>
  <c r="BC35" i="10"/>
  <c r="BC36" i="10"/>
  <c r="W33" i="10"/>
  <c r="W38" i="10"/>
  <c r="W35" i="10"/>
  <c r="W36" i="10"/>
  <c r="G39" i="10"/>
  <c r="AM33" i="10"/>
  <c r="AM38" i="10"/>
  <c r="AM35" i="10"/>
  <c r="AM36" i="10"/>
  <c r="P61" i="3"/>
  <c r="G173" i="5"/>
  <c r="G82" i="5"/>
  <c r="B168" i="5"/>
  <c r="B176" i="5" s="1"/>
  <c r="B167" i="5"/>
  <c r="B175" i="5" s="1"/>
  <c r="F69" i="3"/>
  <c r="D59" i="2"/>
  <c r="J60" i="2"/>
  <c r="J61" i="2"/>
  <c r="J59" i="2"/>
  <c r="F61" i="2"/>
  <c r="BC39" i="10"/>
  <c r="W39" i="10"/>
  <c r="W40" i="10" s="1"/>
  <c r="AU33" i="10"/>
  <c r="AU38" i="10"/>
  <c r="AU35" i="10"/>
  <c r="AU36" i="10"/>
  <c r="AM39" i="10"/>
  <c r="AM40" i="10" s="1"/>
  <c r="D35" i="7"/>
  <c r="D32" i="7"/>
  <c r="D36" i="7"/>
  <c r="B121" i="18"/>
  <c r="B134" i="18" s="1"/>
  <c r="B17" i="18" s="1"/>
  <c r="C167" i="5"/>
  <c r="C175" i="5" s="1"/>
  <c r="C168" i="5"/>
  <c r="C176" i="5" s="1"/>
  <c r="P74" i="3"/>
  <c r="M59" i="2"/>
  <c r="J69" i="3"/>
  <c r="F40" i="12"/>
  <c r="F49" i="12"/>
  <c r="B63" i="3"/>
  <c r="L42" i="3"/>
  <c r="L49" i="3" s="1"/>
  <c r="L50" i="3" s="1"/>
  <c r="L69" i="3"/>
  <c r="H62" i="3"/>
  <c r="H58" i="3"/>
  <c r="R58" i="3"/>
  <c r="R62" i="3"/>
  <c r="D33" i="7"/>
  <c r="F113" i="18"/>
  <c r="F114" i="18" s="1"/>
  <c r="F116" i="18"/>
  <c r="C188" i="5"/>
  <c r="C189" i="5" s="1"/>
  <c r="C194" i="5" s="1"/>
  <c r="C192" i="5"/>
  <c r="E35" i="8"/>
  <c r="E36" i="8" s="1"/>
  <c r="T41" i="3"/>
  <c r="T68" i="3"/>
  <c r="T65" i="3"/>
  <c r="T72" i="3" s="1"/>
  <c r="T67" i="3"/>
  <c r="V58" i="12"/>
  <c r="V59" i="12"/>
  <c r="V57" i="12"/>
  <c r="H63" i="3"/>
  <c r="K121" i="18"/>
  <c r="K134" i="18" s="1"/>
  <c r="K17" i="18" s="1"/>
  <c r="K23" i="18" s="1"/>
  <c r="F53" i="12"/>
  <c r="B69" i="3"/>
  <c r="B36" i="7"/>
  <c r="B54" i="2"/>
  <c r="L61" i="3"/>
  <c r="L65" i="3" s="1"/>
  <c r="D74" i="3"/>
  <c r="D73" i="3"/>
  <c r="D71" i="3"/>
  <c r="B188" i="5"/>
  <c r="B189" i="5" s="1"/>
  <c r="B192" i="5" s="1"/>
  <c r="U35" i="8"/>
  <c r="U36" i="8" s="1"/>
  <c r="L54" i="2"/>
  <c r="AU40" i="10"/>
  <c r="K120" i="18"/>
  <c r="K133" i="18" s="1"/>
  <c r="K28" i="18" s="1"/>
  <c r="K33" i="18" s="1"/>
  <c r="N61" i="3"/>
  <c r="I116" i="18"/>
  <c r="I113" i="18"/>
  <c r="I114" i="18" s="1"/>
  <c r="B34" i="7"/>
  <c r="V63" i="3"/>
  <c r="V61" i="3"/>
  <c r="V65" i="3" s="1"/>
  <c r="F168" i="5"/>
  <c r="F176" i="5" s="1"/>
  <c r="F167" i="5"/>
  <c r="F175" i="5" s="1"/>
  <c r="C113" i="18"/>
  <c r="C114" i="18" s="1"/>
  <c r="C116" i="18" s="1"/>
  <c r="D163" i="5"/>
  <c r="G171" i="5"/>
  <c r="G164" i="5"/>
  <c r="G165" i="5" s="1"/>
  <c r="G163" i="5"/>
  <c r="T42" i="3"/>
  <c r="T49" i="3" s="1"/>
  <c r="T50" i="3" s="1"/>
  <c r="T69" i="3"/>
  <c r="F39" i="12"/>
  <c r="F50" i="12"/>
  <c r="F54" i="12" s="1"/>
  <c r="L74" i="3"/>
  <c r="N74" i="3"/>
  <c r="D113" i="18"/>
  <c r="D114" i="18" s="1"/>
  <c r="I167" i="5"/>
  <c r="I175" i="5" s="1"/>
  <c r="I168" i="5"/>
  <c r="I176" i="5" s="1"/>
  <c r="E188" i="5"/>
  <c r="E189" i="5" s="1"/>
  <c r="E192" i="5" s="1"/>
  <c r="BD40" i="10"/>
  <c r="F188" i="5"/>
  <c r="F189" i="5" s="1"/>
  <c r="F194" i="5" s="1"/>
  <c r="F192" i="5"/>
  <c r="J113" i="18"/>
  <c r="J114" i="18" s="1"/>
  <c r="J120" i="18" s="1"/>
  <c r="J133" i="18" s="1"/>
  <c r="J28" i="18" s="1"/>
  <c r="E59" i="2"/>
  <c r="D33" i="10"/>
  <c r="D35" i="10"/>
  <c r="D36" i="10"/>
  <c r="D38" i="10"/>
  <c r="D40" i="10" s="1"/>
  <c r="D34" i="10"/>
  <c r="G113" i="18"/>
  <c r="G114" i="18" s="1"/>
  <c r="M58" i="12"/>
  <c r="M59" i="12"/>
  <c r="M57" i="12"/>
  <c r="T58" i="3"/>
  <c r="T62" i="3"/>
  <c r="M168" i="5"/>
  <c r="M176" i="5" s="1"/>
  <c r="M167" i="5"/>
  <c r="M175" i="5" s="1"/>
  <c r="M188" i="5" s="1"/>
  <c r="M189" i="5" s="1"/>
  <c r="J62" i="3"/>
  <c r="L113" i="18"/>
  <c r="L114" i="18" s="1"/>
  <c r="L121" i="18" s="1"/>
  <c r="L134" i="18" s="1"/>
  <c r="L17" i="18" s="1"/>
  <c r="D69" i="3"/>
  <c r="D41" i="3"/>
  <c r="D42" i="3" s="1"/>
  <c r="D49" i="3" s="1"/>
  <c r="D50" i="3" s="1"/>
  <c r="D68" i="3"/>
  <c r="D65" i="3"/>
  <c r="D72" i="3" s="1"/>
  <c r="D67" i="3"/>
  <c r="I188" i="5"/>
  <c r="I189" i="5" s="1"/>
  <c r="K168" i="5"/>
  <c r="K176" i="5" s="1"/>
  <c r="K167" i="5"/>
  <c r="K175" i="5" s="1"/>
  <c r="F61" i="3"/>
  <c r="BL40" i="10"/>
  <c r="H166" i="5"/>
  <c r="H168" i="5" s="1"/>
  <c r="H176" i="5" s="1"/>
  <c r="I121" i="18"/>
  <c r="I134" i="18" s="1"/>
  <c r="I17" i="18" s="1"/>
  <c r="T39" i="10"/>
  <c r="T40" i="10" s="1"/>
  <c r="D164" i="5"/>
  <c r="D165" i="5" s="1"/>
  <c r="T45" i="12"/>
  <c r="J49" i="3" l="1"/>
  <c r="J50" i="3" s="1"/>
  <c r="J58" i="3"/>
  <c r="E54" i="5"/>
  <c r="V52" i="3"/>
  <c r="V54" i="3" s="1"/>
  <c r="V56" i="3" s="1"/>
  <c r="F52" i="3"/>
  <c r="F54" i="3" s="1"/>
  <c r="F56" i="3" s="1"/>
  <c r="M202" i="5"/>
  <c r="M66" i="5" s="1"/>
  <c r="M201" i="5"/>
  <c r="M65" i="5" s="1"/>
  <c r="M200" i="5"/>
  <c r="M64" i="5" s="1"/>
  <c r="M193" i="5"/>
  <c r="M58" i="5" s="1"/>
  <c r="M198" i="5"/>
  <c r="M62" i="5" s="1"/>
  <c r="M204" i="5"/>
  <c r="M68" i="5" s="1"/>
  <c r="M207" i="5"/>
  <c r="M205" i="5"/>
  <c r="M69" i="5" s="1"/>
  <c r="M203" i="5"/>
  <c r="M67" i="5" s="1"/>
  <c r="M208" i="5"/>
  <c r="M72" i="5" s="1"/>
  <c r="M195" i="5"/>
  <c r="M59" i="5" s="1"/>
  <c r="M206" i="5"/>
  <c r="M70" i="5" s="1"/>
  <c r="M199" i="5"/>
  <c r="M63" i="5" s="1"/>
  <c r="M194" i="5"/>
  <c r="M192" i="5"/>
  <c r="V73" i="3"/>
  <c r="V71" i="3"/>
  <c r="V72" i="3"/>
  <c r="B85" i="3"/>
  <c r="B49" i="3"/>
  <c r="C129" i="18"/>
  <c r="L73" i="3"/>
  <c r="L71" i="3"/>
  <c r="L72" i="3"/>
  <c r="D53" i="3"/>
  <c r="D52" i="3"/>
  <c r="D54" i="3" s="1"/>
  <c r="D56" i="3" s="1"/>
  <c r="B54" i="5"/>
  <c r="J33" i="18"/>
  <c r="N52" i="3"/>
  <c r="N54" i="3" s="1"/>
  <c r="N56" i="3" s="1"/>
  <c r="B129" i="18"/>
  <c r="B72" i="3"/>
  <c r="B71" i="3"/>
  <c r="B73" i="3"/>
  <c r="F118" i="18"/>
  <c r="F131" i="18" s="1"/>
  <c r="F26" i="18" s="1"/>
  <c r="F122" i="18"/>
  <c r="F135" i="18" s="1"/>
  <c r="F18" i="18" s="1"/>
  <c r="F125" i="18"/>
  <c r="F138" i="18" s="1"/>
  <c r="F21" i="18" s="1"/>
  <c r="F124" i="18"/>
  <c r="F137" i="18" s="1"/>
  <c r="F20" i="18" s="1"/>
  <c r="F123" i="18"/>
  <c r="F136" i="18" s="1"/>
  <c r="F19" i="18" s="1"/>
  <c r="F126" i="18"/>
  <c r="F139" i="18" s="1"/>
  <c r="F22" i="18" s="1"/>
  <c r="F52" i="18" s="1"/>
  <c r="F117" i="18"/>
  <c r="F130" i="18" s="1"/>
  <c r="F25" i="18" s="1"/>
  <c r="F51" i="18" s="1"/>
  <c r="F119" i="18"/>
  <c r="F132" i="18" s="1"/>
  <c r="F27" i="18" s="1"/>
  <c r="G40" i="10"/>
  <c r="M23" i="18"/>
  <c r="M129" i="18"/>
  <c r="T71" i="3"/>
  <c r="E197" i="5"/>
  <c r="K129" i="18"/>
  <c r="K127" i="18"/>
  <c r="D118" i="18"/>
  <c r="D131" i="18" s="1"/>
  <c r="D26" i="18" s="1"/>
  <c r="D32" i="18" s="1"/>
  <c r="D125" i="18"/>
  <c r="D138" i="18" s="1"/>
  <c r="D21" i="18" s="1"/>
  <c r="D126" i="18"/>
  <c r="D139" i="18" s="1"/>
  <c r="D22" i="18" s="1"/>
  <c r="D52" i="18" s="1"/>
  <c r="D117" i="18"/>
  <c r="D130" i="18" s="1"/>
  <c r="D25" i="18" s="1"/>
  <c r="D51" i="18" s="1"/>
  <c r="D123" i="18"/>
  <c r="D136" i="18" s="1"/>
  <c r="D19" i="18" s="1"/>
  <c r="D124" i="18"/>
  <c r="D137" i="18" s="1"/>
  <c r="D20" i="18" s="1"/>
  <c r="D122" i="18"/>
  <c r="D135" i="18" s="1"/>
  <c r="D18" i="18" s="1"/>
  <c r="D119" i="18"/>
  <c r="D132" i="18" s="1"/>
  <c r="D27" i="18" s="1"/>
  <c r="I124" i="18"/>
  <c r="I137" i="18" s="1"/>
  <c r="I20" i="18" s="1"/>
  <c r="I125" i="18"/>
  <c r="I138" i="18" s="1"/>
  <c r="I21" i="18" s="1"/>
  <c r="I126" i="18"/>
  <c r="I139" i="18" s="1"/>
  <c r="I22" i="18" s="1"/>
  <c r="I52" i="18" s="1"/>
  <c r="I122" i="18"/>
  <c r="I135" i="18" s="1"/>
  <c r="I18" i="18" s="1"/>
  <c r="I119" i="18"/>
  <c r="I132" i="18" s="1"/>
  <c r="I27" i="18" s="1"/>
  <c r="I123" i="18"/>
  <c r="I136" i="18" s="1"/>
  <c r="I19" i="18" s="1"/>
  <c r="I35" i="18" s="1"/>
  <c r="I118" i="18"/>
  <c r="I131" i="18" s="1"/>
  <c r="I26" i="18" s="1"/>
  <c r="I32" i="18" s="1"/>
  <c r="I117" i="18"/>
  <c r="I130" i="18" s="1"/>
  <c r="I25" i="18" s="1"/>
  <c r="I51" i="18" s="1"/>
  <c r="D34" i="7"/>
  <c r="P62" i="3"/>
  <c r="P58" i="3"/>
  <c r="J168" i="5"/>
  <c r="J176" i="5" s="1"/>
  <c r="J167" i="5"/>
  <c r="J175" i="5" s="1"/>
  <c r="H53" i="3"/>
  <c r="D166" i="5"/>
  <c r="D168" i="5" s="1"/>
  <c r="D176" i="5" s="1"/>
  <c r="P65" i="3"/>
  <c r="M126" i="18"/>
  <c r="M139" i="18" s="1"/>
  <c r="M22" i="18" s="1"/>
  <c r="M52" i="18" s="1"/>
  <c r="M123" i="18"/>
  <c r="M136" i="18" s="1"/>
  <c r="M19" i="18" s="1"/>
  <c r="M35" i="18" s="1"/>
  <c r="M122" i="18"/>
  <c r="M135" i="18" s="1"/>
  <c r="M18" i="18" s="1"/>
  <c r="M118" i="18"/>
  <c r="M131" i="18" s="1"/>
  <c r="M26" i="18" s="1"/>
  <c r="M125" i="18"/>
  <c r="M138" i="18" s="1"/>
  <c r="M21" i="18" s="1"/>
  <c r="M124" i="18"/>
  <c r="M137" i="18" s="1"/>
  <c r="M20" i="18" s="1"/>
  <c r="M119" i="18"/>
  <c r="M132" i="18" s="1"/>
  <c r="M27" i="18" s="1"/>
  <c r="M34" i="18" s="1"/>
  <c r="M117" i="18"/>
  <c r="M130" i="18" s="1"/>
  <c r="M25" i="18" s="1"/>
  <c r="M51" i="18" s="1"/>
  <c r="T73" i="3"/>
  <c r="E196" i="5"/>
  <c r="F120" i="18"/>
  <c r="F133" i="18" s="1"/>
  <c r="F28" i="18" s="1"/>
  <c r="F33" i="18" s="1"/>
  <c r="E194" i="5"/>
  <c r="I127" i="18"/>
  <c r="I129" i="18"/>
  <c r="L59" i="2"/>
  <c r="L61" i="2"/>
  <c r="L60" i="2"/>
  <c r="F121" i="18"/>
  <c r="F134" i="18" s="1"/>
  <c r="F17" i="18" s="1"/>
  <c r="J121" i="18"/>
  <c r="J134" i="18" s="1"/>
  <c r="J17" i="18" s="1"/>
  <c r="B123" i="18"/>
  <c r="B136" i="18" s="1"/>
  <c r="B19" i="18" s="1"/>
  <c r="B35" i="18" s="1"/>
  <c r="B122" i="18"/>
  <c r="B135" i="18" s="1"/>
  <c r="B18" i="18" s="1"/>
  <c r="B125" i="18"/>
  <c r="B138" i="18" s="1"/>
  <c r="B21" i="18" s="1"/>
  <c r="B118" i="18"/>
  <c r="B131" i="18" s="1"/>
  <c r="B26" i="18" s="1"/>
  <c r="B117" i="18"/>
  <c r="B130" i="18" s="1"/>
  <c r="B25" i="18" s="1"/>
  <c r="B51" i="18" s="1"/>
  <c r="B119" i="18"/>
  <c r="B132" i="18" s="1"/>
  <c r="B27" i="18" s="1"/>
  <c r="B34" i="18" s="1"/>
  <c r="B124" i="18"/>
  <c r="B137" i="18" s="1"/>
  <c r="B20" i="18" s="1"/>
  <c r="B126" i="18"/>
  <c r="B139" i="18" s="1"/>
  <c r="B22" i="18" s="1"/>
  <c r="B52" i="18" s="1"/>
  <c r="P63" i="3"/>
  <c r="I193" i="5"/>
  <c r="I58" i="5" s="1"/>
  <c r="I200" i="5"/>
  <c r="I64" i="5" s="1"/>
  <c r="I195" i="5"/>
  <c r="I59" i="5" s="1"/>
  <c r="I204" i="5"/>
  <c r="I68" i="5" s="1"/>
  <c r="I206" i="5"/>
  <c r="I70" i="5" s="1"/>
  <c r="I198" i="5"/>
  <c r="I62" i="5" s="1"/>
  <c r="I207" i="5"/>
  <c r="I202" i="5"/>
  <c r="I66" i="5" s="1"/>
  <c r="I208" i="5"/>
  <c r="I72" i="5" s="1"/>
  <c r="I201" i="5"/>
  <c r="I65" i="5" s="1"/>
  <c r="I203" i="5"/>
  <c r="I67" i="5" s="1"/>
  <c r="I199" i="5"/>
  <c r="I63" i="5" s="1"/>
  <c r="I205" i="5"/>
  <c r="I69" i="5" s="1"/>
  <c r="L53" i="3"/>
  <c r="L52" i="3"/>
  <c r="L54" i="3" s="1"/>
  <c r="L56" i="3" s="1"/>
  <c r="F205" i="5"/>
  <c r="F69" i="5" s="1"/>
  <c r="F198" i="5"/>
  <c r="F62" i="5" s="1"/>
  <c r="F195" i="5"/>
  <c r="F59" i="5" s="1"/>
  <c r="F193" i="5"/>
  <c r="F58" i="5" s="1"/>
  <c r="F208" i="5"/>
  <c r="F72" i="5" s="1"/>
  <c r="F204" i="5"/>
  <c r="F68" i="5" s="1"/>
  <c r="F200" i="5"/>
  <c r="F64" i="5" s="1"/>
  <c r="F199" i="5"/>
  <c r="F63" i="5" s="1"/>
  <c r="F202" i="5"/>
  <c r="F66" i="5" s="1"/>
  <c r="F201" i="5"/>
  <c r="F65" i="5" s="1"/>
  <c r="F203" i="5"/>
  <c r="F67" i="5" s="1"/>
  <c r="F207" i="5"/>
  <c r="F206" i="5"/>
  <c r="F70" i="5" s="1"/>
  <c r="M196" i="5"/>
  <c r="G122" i="18"/>
  <c r="G135" i="18" s="1"/>
  <c r="G18" i="18" s="1"/>
  <c r="G23" i="18" s="1"/>
  <c r="G117" i="18"/>
  <c r="G130" i="18" s="1"/>
  <c r="G25" i="18" s="1"/>
  <c r="G51" i="18" s="1"/>
  <c r="G126" i="18"/>
  <c r="G139" i="18" s="1"/>
  <c r="G22" i="18" s="1"/>
  <c r="G52" i="18" s="1"/>
  <c r="G124" i="18"/>
  <c r="G137" i="18" s="1"/>
  <c r="G20" i="18" s="1"/>
  <c r="G125" i="18"/>
  <c r="G138" i="18" s="1"/>
  <c r="G21" i="18" s="1"/>
  <c r="G119" i="18"/>
  <c r="G132" i="18" s="1"/>
  <c r="G27" i="18" s="1"/>
  <c r="G123" i="18"/>
  <c r="G136" i="18" s="1"/>
  <c r="G19" i="18" s="1"/>
  <c r="G35" i="18" s="1"/>
  <c r="G118" i="18"/>
  <c r="G131" i="18" s="1"/>
  <c r="G26" i="18" s="1"/>
  <c r="G32" i="18" s="1"/>
  <c r="E199" i="5"/>
  <c r="E63" i="5" s="1"/>
  <c r="E198" i="5"/>
  <c r="E62" i="5" s="1"/>
  <c r="E202" i="5"/>
  <c r="E66" i="5" s="1"/>
  <c r="E207" i="5"/>
  <c r="E206" i="5"/>
  <c r="E70" i="5" s="1"/>
  <c r="E208" i="5"/>
  <c r="E72" i="5" s="1"/>
  <c r="E200" i="5"/>
  <c r="E64" i="5" s="1"/>
  <c r="E204" i="5"/>
  <c r="E68" i="5" s="1"/>
  <c r="E195" i="5"/>
  <c r="E59" i="5" s="1"/>
  <c r="E201" i="5"/>
  <c r="E65" i="5" s="1"/>
  <c r="E205" i="5"/>
  <c r="E69" i="5" s="1"/>
  <c r="E203" i="5"/>
  <c r="E67" i="5" s="1"/>
  <c r="E193" i="5"/>
  <c r="E58" i="5" s="1"/>
  <c r="F58" i="12"/>
  <c r="F59" i="12"/>
  <c r="F57" i="12"/>
  <c r="C124" i="18"/>
  <c r="C137" i="18" s="1"/>
  <c r="C20" i="18" s="1"/>
  <c r="C122" i="18"/>
  <c r="C135" i="18" s="1"/>
  <c r="C18" i="18" s="1"/>
  <c r="C117" i="18"/>
  <c r="C130" i="18" s="1"/>
  <c r="C25" i="18" s="1"/>
  <c r="C51" i="18" s="1"/>
  <c r="C125" i="18"/>
  <c r="C138" i="18" s="1"/>
  <c r="C21" i="18" s="1"/>
  <c r="C126" i="18"/>
  <c r="C139" i="18" s="1"/>
  <c r="C22" i="18" s="1"/>
  <c r="C52" i="18" s="1"/>
  <c r="C120" i="18"/>
  <c r="C133" i="18" s="1"/>
  <c r="C28" i="18" s="1"/>
  <c r="C121" i="18"/>
  <c r="C134" i="18" s="1"/>
  <c r="C17" i="18" s="1"/>
  <c r="C123" i="18"/>
  <c r="C136" i="18" s="1"/>
  <c r="C19" i="18" s="1"/>
  <c r="C35" i="18" s="1"/>
  <c r="C118" i="18"/>
  <c r="C131" i="18" s="1"/>
  <c r="C26" i="18" s="1"/>
  <c r="C32" i="18" s="1"/>
  <c r="C119" i="18"/>
  <c r="C132" i="18" s="1"/>
  <c r="C27" i="18" s="1"/>
  <c r="N58" i="3"/>
  <c r="N62" i="3"/>
  <c r="L58" i="3"/>
  <c r="L62" i="3"/>
  <c r="H125" i="18"/>
  <c r="H138" i="18" s="1"/>
  <c r="H21" i="18" s="1"/>
  <c r="H124" i="18"/>
  <c r="H137" i="18" s="1"/>
  <c r="H20" i="18" s="1"/>
  <c r="H119" i="18"/>
  <c r="H132" i="18" s="1"/>
  <c r="H27" i="18" s="1"/>
  <c r="H126" i="18"/>
  <c r="H139" i="18" s="1"/>
  <c r="H22" i="18" s="1"/>
  <c r="H52" i="18" s="1"/>
  <c r="H120" i="18"/>
  <c r="H133" i="18" s="1"/>
  <c r="H28" i="18" s="1"/>
  <c r="H117" i="18"/>
  <c r="H130" i="18" s="1"/>
  <c r="H25" i="18" s="1"/>
  <c r="H51" i="18" s="1"/>
  <c r="H118" i="18"/>
  <c r="H131" i="18" s="1"/>
  <c r="H26" i="18" s="1"/>
  <c r="H32" i="18" s="1"/>
  <c r="H121" i="18"/>
  <c r="H134" i="18" s="1"/>
  <c r="H17" i="18" s="1"/>
  <c r="H122" i="18"/>
  <c r="H135" i="18" s="1"/>
  <c r="H18" i="18" s="1"/>
  <c r="H123" i="18"/>
  <c r="H136" i="18" s="1"/>
  <c r="H19" i="18" s="1"/>
  <c r="H35" i="18" s="1"/>
  <c r="D121" i="18"/>
  <c r="D134" i="18" s="1"/>
  <c r="D17" i="18" s="1"/>
  <c r="G120" i="18"/>
  <c r="G133" i="18" s="1"/>
  <c r="G28" i="18" s="1"/>
  <c r="K32" i="18"/>
  <c r="I23" i="18"/>
  <c r="F54" i="5"/>
  <c r="F129" i="18"/>
  <c r="F127" i="18"/>
  <c r="P52" i="3"/>
  <c r="P54" i="3" s="1"/>
  <c r="P56" i="3" s="1"/>
  <c r="B83" i="3"/>
  <c r="I194" i="5"/>
  <c r="B194" i="5"/>
  <c r="F58" i="3"/>
  <c r="F62" i="3"/>
  <c r="K188" i="5"/>
  <c r="K189" i="5" s="1"/>
  <c r="K197" i="5" s="1"/>
  <c r="M197" i="5"/>
  <c r="G116" i="18"/>
  <c r="I197" i="5"/>
  <c r="F196" i="5"/>
  <c r="N63" i="3"/>
  <c r="L63" i="3"/>
  <c r="C54" i="5"/>
  <c r="C197" i="5"/>
  <c r="BC40" i="10"/>
  <c r="H116" i="18"/>
  <c r="N65" i="3"/>
  <c r="B58" i="3"/>
  <c r="B62" i="3"/>
  <c r="D120" i="18"/>
  <c r="D133" i="18" s="1"/>
  <c r="D28" i="18" s="1"/>
  <c r="F63" i="3"/>
  <c r="K34" i="18"/>
  <c r="L118" i="18"/>
  <c r="L131" i="18" s="1"/>
  <c r="L26" i="18" s="1"/>
  <c r="L126" i="18"/>
  <c r="L139" i="18" s="1"/>
  <c r="L22" i="18" s="1"/>
  <c r="L52" i="18" s="1"/>
  <c r="L117" i="18"/>
  <c r="L130" i="18" s="1"/>
  <c r="L25" i="18" s="1"/>
  <c r="L51" i="18" s="1"/>
  <c r="L119" i="18"/>
  <c r="L132" i="18" s="1"/>
  <c r="L27" i="18" s="1"/>
  <c r="L34" i="18" s="1"/>
  <c r="L125" i="18"/>
  <c r="L138" i="18" s="1"/>
  <c r="L21" i="18" s="1"/>
  <c r="L124" i="18"/>
  <c r="L137" i="18" s="1"/>
  <c r="L20" i="18" s="1"/>
  <c r="L122" i="18"/>
  <c r="L135" i="18" s="1"/>
  <c r="L18" i="18" s="1"/>
  <c r="L23" i="18" s="1"/>
  <c r="L123" i="18"/>
  <c r="L136" i="18" s="1"/>
  <c r="L19" i="18" s="1"/>
  <c r="L35" i="18" s="1"/>
  <c r="H196" i="5"/>
  <c r="E129" i="18"/>
  <c r="D167" i="5"/>
  <c r="D175" i="5" s="1"/>
  <c r="I196" i="5"/>
  <c r="T52" i="3"/>
  <c r="T54" i="3" s="1"/>
  <c r="T56" i="3" s="1"/>
  <c r="F197" i="5"/>
  <c r="B59" i="2"/>
  <c r="B61" i="2"/>
  <c r="B60" i="2"/>
  <c r="C203" i="5"/>
  <c r="C67" i="5" s="1"/>
  <c r="C207" i="5"/>
  <c r="C193" i="5"/>
  <c r="C58" i="5" s="1"/>
  <c r="C201" i="5"/>
  <c r="C65" i="5" s="1"/>
  <c r="C205" i="5"/>
  <c r="C69" i="5" s="1"/>
  <c r="C195" i="5"/>
  <c r="C59" i="5" s="1"/>
  <c r="C199" i="5"/>
  <c r="C63" i="5" s="1"/>
  <c r="C206" i="5"/>
  <c r="C70" i="5" s="1"/>
  <c r="C204" i="5"/>
  <c r="C68" i="5" s="1"/>
  <c r="C200" i="5"/>
  <c r="C64" i="5" s="1"/>
  <c r="C198" i="5"/>
  <c r="C62" i="5" s="1"/>
  <c r="C208" i="5"/>
  <c r="C72" i="5" s="1"/>
  <c r="C202" i="5"/>
  <c r="C66" i="5" s="1"/>
  <c r="C196" i="5"/>
  <c r="B196" i="5"/>
  <c r="L120" i="18"/>
  <c r="L133" i="18" s="1"/>
  <c r="L28" i="18" s="1"/>
  <c r="B77" i="3"/>
  <c r="I120" i="18"/>
  <c r="I133" i="18" s="1"/>
  <c r="I28" i="18" s="1"/>
  <c r="F45" i="12"/>
  <c r="G168" i="5"/>
  <c r="G176" i="5" s="1"/>
  <c r="G167" i="5"/>
  <c r="G175" i="5" s="1"/>
  <c r="I192" i="5"/>
  <c r="L116" i="18"/>
  <c r="J123" i="18"/>
  <c r="J136" i="18" s="1"/>
  <c r="J19" i="18" s="1"/>
  <c r="J35" i="18" s="1"/>
  <c r="J122" i="18"/>
  <c r="J135" i="18" s="1"/>
  <c r="J18" i="18" s="1"/>
  <c r="J126" i="18"/>
  <c r="J139" i="18" s="1"/>
  <c r="J22" i="18" s="1"/>
  <c r="J52" i="18" s="1"/>
  <c r="J124" i="18"/>
  <c r="J137" i="18" s="1"/>
  <c r="J20" i="18" s="1"/>
  <c r="J118" i="18"/>
  <c r="J131" i="18" s="1"/>
  <c r="J26" i="18" s="1"/>
  <c r="J119" i="18"/>
  <c r="J132" i="18" s="1"/>
  <c r="J27" i="18" s="1"/>
  <c r="J34" i="18" s="1"/>
  <c r="J125" i="18"/>
  <c r="J138" i="18" s="1"/>
  <c r="J21" i="18" s="1"/>
  <c r="J116" i="18"/>
  <c r="J117" i="18"/>
  <c r="J130" i="18" s="1"/>
  <c r="J25" i="18" s="1"/>
  <c r="J51" i="18" s="1"/>
  <c r="D116" i="18"/>
  <c r="V58" i="3"/>
  <c r="V62" i="3"/>
  <c r="B203" i="5"/>
  <c r="B67" i="5" s="1"/>
  <c r="B198" i="5"/>
  <c r="B62" i="5" s="1"/>
  <c r="B193" i="5"/>
  <c r="B58" i="5" s="1"/>
  <c r="B204" i="5"/>
  <c r="B68" i="5" s="1"/>
  <c r="B205" i="5"/>
  <c r="B69" i="5" s="1"/>
  <c r="B206" i="5"/>
  <c r="B70" i="5" s="1"/>
  <c r="B199" i="5"/>
  <c r="B63" i="5" s="1"/>
  <c r="B207" i="5"/>
  <c r="B202" i="5"/>
  <c r="B66" i="5" s="1"/>
  <c r="B208" i="5"/>
  <c r="B72" i="5" s="1"/>
  <c r="B201" i="5"/>
  <c r="B65" i="5" s="1"/>
  <c r="B200" i="5"/>
  <c r="B64" i="5" s="1"/>
  <c r="B195" i="5"/>
  <c r="B59" i="5" s="1"/>
  <c r="G166" i="5"/>
  <c r="B197" i="5"/>
  <c r="D58" i="3"/>
  <c r="D62" i="3"/>
  <c r="B33" i="18"/>
  <c r="F65" i="3"/>
  <c r="H188" i="5"/>
  <c r="H189" i="5" s="1"/>
  <c r="H197" i="5" s="1"/>
  <c r="E119" i="18"/>
  <c r="E132" i="18" s="1"/>
  <c r="E27" i="18" s="1"/>
  <c r="E123" i="18"/>
  <c r="E136" i="18" s="1"/>
  <c r="E19" i="18" s="1"/>
  <c r="E124" i="18"/>
  <c r="E137" i="18" s="1"/>
  <c r="E20" i="18" s="1"/>
  <c r="E125" i="18"/>
  <c r="E138" i="18" s="1"/>
  <c r="E21" i="18" s="1"/>
  <c r="E118" i="18"/>
  <c r="E131" i="18" s="1"/>
  <c r="E26" i="18" s="1"/>
  <c r="E120" i="18"/>
  <c r="E133" i="18" s="1"/>
  <c r="E28" i="18" s="1"/>
  <c r="E33" i="18" s="1"/>
  <c r="E117" i="18"/>
  <c r="E130" i="18" s="1"/>
  <c r="E25" i="18" s="1"/>
  <c r="E51" i="18" s="1"/>
  <c r="E121" i="18"/>
  <c r="E134" i="18" s="1"/>
  <c r="E17" i="18" s="1"/>
  <c r="E126" i="18"/>
  <c r="E139" i="18" s="1"/>
  <c r="E22" i="18" s="1"/>
  <c r="E52" i="18" s="1"/>
  <c r="E122" i="18"/>
  <c r="E135" i="18" s="1"/>
  <c r="E18" i="18" s="1"/>
  <c r="K35" i="18"/>
  <c r="K59" i="18" s="1"/>
  <c r="L188" i="5"/>
  <c r="L189" i="5" s="1"/>
  <c r="L197" i="5" s="1"/>
  <c r="L61" i="5" l="1"/>
  <c r="H212" i="5"/>
  <c r="H35" i="5" s="1"/>
  <c r="H61" i="5"/>
  <c r="K212" i="5"/>
  <c r="K35" i="5" s="1"/>
  <c r="K61" i="5"/>
  <c r="F71" i="3"/>
  <c r="F72" i="3"/>
  <c r="F73" i="3"/>
  <c r="I54" i="5"/>
  <c r="M57" i="18"/>
  <c r="M58" i="18"/>
  <c r="B78" i="3"/>
  <c r="B86" i="3"/>
  <c r="F24" i="18"/>
  <c r="F29" i="18" s="1"/>
  <c r="F140" i="18"/>
  <c r="G61" i="18"/>
  <c r="G62" i="18"/>
  <c r="M60" i="5"/>
  <c r="M87" i="5" s="1"/>
  <c r="M78" i="5" s="1"/>
  <c r="M213" i="5"/>
  <c r="M34" i="5" s="1"/>
  <c r="I209" i="5"/>
  <c r="I210" i="5" s="1"/>
  <c r="I71" i="5"/>
  <c r="D34" i="18"/>
  <c r="M33" i="18"/>
  <c r="M54" i="5"/>
  <c r="M210" i="5"/>
  <c r="M209" i="5"/>
  <c r="M71" i="5"/>
  <c r="F53" i="3"/>
  <c r="G197" i="5"/>
  <c r="N73" i="3"/>
  <c r="N71" i="3"/>
  <c r="N72" i="3"/>
  <c r="H23" i="18"/>
  <c r="C23" i="18"/>
  <c r="J23" i="18"/>
  <c r="G188" i="5"/>
  <c r="G189" i="5" s="1"/>
  <c r="J196" i="5"/>
  <c r="J188" i="5"/>
  <c r="J189" i="5" s="1"/>
  <c r="I34" i="18"/>
  <c r="K140" i="18"/>
  <c r="K24" i="18"/>
  <c r="K29" i="18" s="1"/>
  <c r="K30" i="18" s="1"/>
  <c r="C127" i="18"/>
  <c r="L58" i="18"/>
  <c r="L57" i="18"/>
  <c r="I62" i="18"/>
  <c r="I61" i="18"/>
  <c r="B59" i="18"/>
  <c r="B60" i="18"/>
  <c r="B53" i="18"/>
  <c r="E24" i="18"/>
  <c r="E29" i="18" s="1"/>
  <c r="E140" i="18"/>
  <c r="T53" i="3"/>
  <c r="H213" i="5"/>
  <c r="H34" i="5" s="1"/>
  <c r="H60" i="5"/>
  <c r="L32" i="18"/>
  <c r="H127" i="18"/>
  <c r="H129" i="18"/>
  <c r="I61" i="5"/>
  <c r="I212" i="5"/>
  <c r="I35" i="5" s="1"/>
  <c r="F83" i="5"/>
  <c r="F84" i="5" s="1"/>
  <c r="F90" i="5"/>
  <c r="F86" i="5"/>
  <c r="F92" i="5"/>
  <c r="H62" i="18"/>
  <c r="H61" i="18"/>
  <c r="C33" i="18"/>
  <c r="G34" i="18"/>
  <c r="F209" i="5"/>
  <c r="F71" i="5"/>
  <c r="B57" i="18"/>
  <c r="B58" i="18"/>
  <c r="F23" i="18"/>
  <c r="M32" i="18"/>
  <c r="J197" i="5"/>
  <c r="F32" i="18"/>
  <c r="B83" i="5"/>
  <c r="B84" i="5" s="1"/>
  <c r="B86" i="5"/>
  <c r="C24" i="18"/>
  <c r="C29" i="18" s="1"/>
  <c r="C30" i="18" s="1"/>
  <c r="C140" i="18"/>
  <c r="V53" i="3"/>
  <c r="L203" i="5"/>
  <c r="L67" i="5" s="1"/>
  <c r="L201" i="5"/>
  <c r="L65" i="5" s="1"/>
  <c r="L208" i="5"/>
  <c r="L72" i="5" s="1"/>
  <c r="L199" i="5"/>
  <c r="L63" i="5" s="1"/>
  <c r="L205" i="5"/>
  <c r="L69" i="5" s="1"/>
  <c r="L204" i="5"/>
  <c r="L68" i="5" s="1"/>
  <c r="L207" i="5"/>
  <c r="L192" i="5"/>
  <c r="L200" i="5"/>
  <c r="L64" i="5" s="1"/>
  <c r="L195" i="5"/>
  <c r="L59" i="5" s="1"/>
  <c r="L198" i="5"/>
  <c r="L62" i="5" s="1"/>
  <c r="L193" i="5"/>
  <c r="L58" i="5" s="1"/>
  <c r="L202" i="5"/>
  <c r="L66" i="5" s="1"/>
  <c r="L206" i="5"/>
  <c r="L70" i="5" s="1"/>
  <c r="L194" i="5"/>
  <c r="B209" i="5"/>
  <c r="B71" i="5"/>
  <c r="I213" i="5"/>
  <c r="I34" i="5" s="1"/>
  <c r="I60" i="5"/>
  <c r="G129" i="18"/>
  <c r="G127" i="18"/>
  <c r="F53" i="18"/>
  <c r="D35" i="18"/>
  <c r="E61" i="5"/>
  <c r="E212" i="5"/>
  <c r="E35" i="5" s="1"/>
  <c r="F34" i="18"/>
  <c r="K60" i="18"/>
  <c r="B127" i="18"/>
  <c r="B50" i="3"/>
  <c r="B84" i="3"/>
  <c r="F61" i="5"/>
  <c r="F212" i="5"/>
  <c r="F35" i="5" s="1"/>
  <c r="J32" i="18"/>
  <c r="B212" i="5"/>
  <c r="B35" i="5" s="1"/>
  <c r="B61" i="5"/>
  <c r="I33" i="18"/>
  <c r="C209" i="5"/>
  <c r="C210" i="5" s="1"/>
  <c r="C71" i="5"/>
  <c r="E35" i="18"/>
  <c r="E59" i="18" s="1"/>
  <c r="D129" i="18"/>
  <c r="D127" i="18"/>
  <c r="K58" i="18"/>
  <c r="K57" i="18"/>
  <c r="C212" i="5"/>
  <c r="C35" i="5" s="1"/>
  <c r="C61" i="5"/>
  <c r="M61" i="5"/>
  <c r="M212" i="5"/>
  <c r="M35" i="5" s="1"/>
  <c r="K55" i="18"/>
  <c r="K56" i="18"/>
  <c r="K61" i="18"/>
  <c r="K62" i="18"/>
  <c r="H33" i="18"/>
  <c r="E209" i="5"/>
  <c r="E71" i="5"/>
  <c r="B32" i="18"/>
  <c r="B54" i="18" s="1"/>
  <c r="E213" i="5"/>
  <c r="E34" i="5" s="1"/>
  <c r="E60" i="5"/>
  <c r="B24" i="18"/>
  <c r="B29" i="18" s="1"/>
  <c r="B140" i="18"/>
  <c r="E83" i="5"/>
  <c r="E84" i="5" s="1"/>
  <c r="E86" i="5"/>
  <c r="C213" i="5"/>
  <c r="C34" i="5" s="1"/>
  <c r="C60" i="5"/>
  <c r="D61" i="18"/>
  <c r="D62" i="18"/>
  <c r="J53" i="18"/>
  <c r="J59" i="18"/>
  <c r="J60" i="18"/>
  <c r="J54" i="18"/>
  <c r="E60" i="18"/>
  <c r="E53" i="18"/>
  <c r="E54" i="18"/>
  <c r="F213" i="5"/>
  <c r="F34" i="5" s="1"/>
  <c r="F60" i="5"/>
  <c r="F87" i="5" s="1"/>
  <c r="F78" i="5" s="1"/>
  <c r="E34" i="18"/>
  <c r="L33" i="18"/>
  <c r="K207" i="5"/>
  <c r="K203" i="5"/>
  <c r="K67" i="5" s="1"/>
  <c r="K205" i="5"/>
  <c r="K69" i="5" s="1"/>
  <c r="K194" i="5"/>
  <c r="K193" i="5"/>
  <c r="K58" i="5" s="1"/>
  <c r="K201" i="5"/>
  <c r="K65" i="5" s="1"/>
  <c r="K208" i="5"/>
  <c r="K72" i="5" s="1"/>
  <c r="K204" i="5"/>
  <c r="K68" i="5" s="1"/>
  <c r="K202" i="5"/>
  <c r="K66" i="5" s="1"/>
  <c r="K206" i="5"/>
  <c r="K70" i="5" s="1"/>
  <c r="K192" i="5"/>
  <c r="K200" i="5"/>
  <c r="K64" i="5" s="1"/>
  <c r="K199" i="5"/>
  <c r="K63" i="5" s="1"/>
  <c r="K198" i="5"/>
  <c r="K62" i="5" s="1"/>
  <c r="K195" i="5"/>
  <c r="K59" i="5" s="1"/>
  <c r="G33" i="18"/>
  <c r="M127" i="18"/>
  <c r="K54" i="18"/>
  <c r="E127" i="18"/>
  <c r="C56" i="18"/>
  <c r="C61" i="18"/>
  <c r="C62" i="18"/>
  <c r="C55" i="18"/>
  <c r="B23" i="18"/>
  <c r="J57" i="18"/>
  <c r="J58" i="18"/>
  <c r="E32" i="18"/>
  <c r="E23" i="18"/>
  <c r="H199" i="5"/>
  <c r="H63" i="5" s="1"/>
  <c r="H205" i="5"/>
  <c r="H69" i="5" s="1"/>
  <c r="H204" i="5"/>
  <c r="H68" i="5" s="1"/>
  <c r="H206" i="5"/>
  <c r="H70" i="5" s="1"/>
  <c r="H198" i="5"/>
  <c r="H62" i="5" s="1"/>
  <c r="H195" i="5"/>
  <c r="H59" i="5" s="1"/>
  <c r="H208" i="5"/>
  <c r="H72" i="5" s="1"/>
  <c r="H203" i="5"/>
  <c r="H67" i="5" s="1"/>
  <c r="H193" i="5"/>
  <c r="H58" i="5" s="1"/>
  <c r="H200" i="5"/>
  <c r="H64" i="5" s="1"/>
  <c r="H201" i="5"/>
  <c r="H65" i="5" s="1"/>
  <c r="H202" i="5"/>
  <c r="H66" i="5" s="1"/>
  <c r="H207" i="5"/>
  <c r="H192" i="5"/>
  <c r="H194" i="5"/>
  <c r="J129" i="18"/>
  <c r="J127" i="18"/>
  <c r="L129" i="18"/>
  <c r="L127" i="18"/>
  <c r="B213" i="5"/>
  <c r="B34" i="5" s="1"/>
  <c r="B60" i="5"/>
  <c r="B87" i="5" s="1"/>
  <c r="B78" i="5" s="1"/>
  <c r="D188" i="5"/>
  <c r="D189" i="5" s="1"/>
  <c r="D197" i="5" s="1"/>
  <c r="D33" i="18"/>
  <c r="D55" i="18" s="1"/>
  <c r="C83" i="5"/>
  <c r="C84" i="5" s="1"/>
  <c r="C86" i="5"/>
  <c r="K196" i="5"/>
  <c r="P53" i="3"/>
  <c r="D23" i="18"/>
  <c r="H34" i="18"/>
  <c r="C34" i="18"/>
  <c r="I140" i="18"/>
  <c r="I24" i="18"/>
  <c r="I29" i="18" s="1"/>
  <c r="I30" i="18" s="1"/>
  <c r="P72" i="3"/>
  <c r="P71" i="3"/>
  <c r="P73" i="3"/>
  <c r="L196" i="5"/>
  <c r="L212" i="5" s="1"/>
  <c r="L35" i="5" s="1"/>
  <c r="M140" i="18"/>
  <c r="M24" i="18"/>
  <c r="M29" i="18" s="1"/>
  <c r="M30" i="18" s="1"/>
  <c r="F35" i="18"/>
  <c r="F59" i="18" s="1"/>
  <c r="K53" i="18"/>
  <c r="N53" i="3"/>
  <c r="J52" i="3"/>
  <c r="J54" i="3" s="1"/>
  <c r="J56" i="3" s="1"/>
  <c r="D61" i="5" l="1"/>
  <c r="B47" i="5"/>
  <c r="B73" i="5"/>
  <c r="F47" i="5"/>
  <c r="F73" i="5"/>
  <c r="M60" i="18"/>
  <c r="M53" i="18"/>
  <c r="M54" i="18"/>
  <c r="M59" i="18"/>
  <c r="H60" i="18"/>
  <c r="H53" i="18"/>
  <c r="H54" i="18"/>
  <c r="H59" i="18"/>
  <c r="I53" i="18"/>
  <c r="I54" i="18"/>
  <c r="I59" i="18"/>
  <c r="I60" i="18"/>
  <c r="B52" i="3"/>
  <c r="B53" i="3" s="1"/>
  <c r="L71" i="5"/>
  <c r="L209" i="5"/>
  <c r="B93" i="5"/>
  <c r="F62" i="18"/>
  <c r="F55" i="18"/>
  <c r="F61" i="18"/>
  <c r="F56" i="18"/>
  <c r="G57" i="18"/>
  <c r="G58" i="18"/>
  <c r="F91" i="5"/>
  <c r="L56" i="18"/>
  <c r="L61" i="18"/>
  <c r="L62" i="18"/>
  <c r="L55" i="18"/>
  <c r="G205" i="5"/>
  <c r="G69" i="5" s="1"/>
  <c r="G203" i="5"/>
  <c r="G67" i="5" s="1"/>
  <c r="G199" i="5"/>
  <c r="G63" i="5" s="1"/>
  <c r="G201" i="5"/>
  <c r="G65" i="5" s="1"/>
  <c r="G207" i="5"/>
  <c r="G200" i="5"/>
  <c r="G64" i="5" s="1"/>
  <c r="G208" i="5"/>
  <c r="G72" i="5" s="1"/>
  <c r="G195" i="5"/>
  <c r="G59" i="5" s="1"/>
  <c r="G204" i="5"/>
  <c r="G68" i="5" s="1"/>
  <c r="G202" i="5"/>
  <c r="G66" i="5" s="1"/>
  <c r="G198" i="5"/>
  <c r="G62" i="5" s="1"/>
  <c r="G193" i="5"/>
  <c r="G58" i="5" s="1"/>
  <c r="G206" i="5"/>
  <c r="G70" i="5" s="1"/>
  <c r="G194" i="5"/>
  <c r="G192" i="5"/>
  <c r="D58" i="18"/>
  <c r="D57" i="18"/>
  <c r="L54" i="5"/>
  <c r="L210" i="5"/>
  <c r="G59" i="18"/>
  <c r="G60" i="18"/>
  <c r="G53" i="18"/>
  <c r="G54" i="18"/>
  <c r="K39" i="18"/>
  <c r="K63" i="18"/>
  <c r="C57" i="18"/>
  <c r="C58" i="18"/>
  <c r="L54" i="18"/>
  <c r="L60" i="18"/>
  <c r="L53" i="18"/>
  <c r="L59" i="18"/>
  <c r="D56" i="18"/>
  <c r="K48" i="18"/>
  <c r="K43" i="18"/>
  <c r="F60" i="18"/>
  <c r="B92" i="5"/>
  <c r="J212" i="5"/>
  <c r="J35" i="5" s="1"/>
  <c r="J61" i="5"/>
  <c r="C59" i="18"/>
  <c r="C60" i="18"/>
  <c r="C53" i="18"/>
  <c r="C54" i="18"/>
  <c r="F97" i="5"/>
  <c r="F93" i="5"/>
  <c r="H87" i="5"/>
  <c r="H78" i="5" s="1"/>
  <c r="G56" i="18"/>
  <c r="G61" i="5"/>
  <c r="B49" i="5"/>
  <c r="B51" i="5" s="1"/>
  <c r="B77" i="5"/>
  <c r="H57" i="18"/>
  <c r="H58" i="18"/>
  <c r="L24" i="18"/>
  <c r="L29" i="18" s="1"/>
  <c r="L30" i="18" s="1"/>
  <c r="L140" i="18"/>
  <c r="K47" i="18"/>
  <c r="K44" i="18"/>
  <c r="K46" i="18"/>
  <c r="G24" i="18"/>
  <c r="G29" i="18" s="1"/>
  <c r="G30" i="18" s="1"/>
  <c r="G140" i="18"/>
  <c r="B98" i="5"/>
  <c r="B89" i="5"/>
  <c r="M56" i="18"/>
  <c r="M62" i="18"/>
  <c r="M55" i="18"/>
  <c r="M61" i="18"/>
  <c r="F98" i="5"/>
  <c r="F96" i="5"/>
  <c r="H77" i="5"/>
  <c r="B210" i="5"/>
  <c r="I83" i="5"/>
  <c r="I84" i="5" s="1"/>
  <c r="I93" i="5"/>
  <c r="I86" i="5"/>
  <c r="I91" i="5"/>
  <c r="C47" i="5"/>
  <c r="C73" i="5"/>
  <c r="C55" i="5"/>
  <c r="C85" i="5"/>
  <c r="C57" i="5" s="1"/>
  <c r="E87" i="5"/>
  <c r="K42" i="18"/>
  <c r="J61" i="18"/>
  <c r="J55" i="18"/>
  <c r="J56" i="18"/>
  <c r="J62" i="18"/>
  <c r="F57" i="18"/>
  <c r="F58" i="18"/>
  <c r="F54" i="18"/>
  <c r="I87" i="5"/>
  <c r="I78" i="5" s="1"/>
  <c r="B94" i="5"/>
  <c r="B95" i="5"/>
  <c r="H55" i="18"/>
  <c r="F95" i="5"/>
  <c r="F55" i="5"/>
  <c r="F75" i="5" s="1"/>
  <c r="F85" i="5"/>
  <c r="F57" i="5" s="1"/>
  <c r="I47" i="5"/>
  <c r="I73" i="5"/>
  <c r="F30" i="18"/>
  <c r="B55" i="5"/>
  <c r="B75" i="5" s="1"/>
  <c r="B85" i="5"/>
  <c r="B57" i="5" s="1"/>
  <c r="D59" i="18"/>
  <c r="D53" i="18"/>
  <c r="D54" i="18"/>
  <c r="D60" i="18"/>
  <c r="J24" i="18"/>
  <c r="J29" i="18" s="1"/>
  <c r="J30" i="18" s="1"/>
  <c r="J140" i="18"/>
  <c r="E57" i="18"/>
  <c r="E58" i="18"/>
  <c r="E55" i="5"/>
  <c r="E85" i="5"/>
  <c r="E57" i="5" s="1"/>
  <c r="E49" i="5"/>
  <c r="E51" i="5" s="1"/>
  <c r="E77" i="5"/>
  <c r="K41" i="18"/>
  <c r="D24" i="18"/>
  <c r="D29" i="18" s="1"/>
  <c r="D30" i="18" s="1"/>
  <c r="D140" i="18"/>
  <c r="I49" i="5"/>
  <c r="I51" i="5" s="1"/>
  <c r="I77" i="5"/>
  <c r="B91" i="5"/>
  <c r="F94" i="5"/>
  <c r="I56" i="18"/>
  <c r="M47" i="5"/>
  <c r="M73" i="5"/>
  <c r="M49" i="5"/>
  <c r="M51" i="5" s="1"/>
  <c r="M77" i="5"/>
  <c r="H71" i="5"/>
  <c r="H209" i="5"/>
  <c r="K209" i="5"/>
  <c r="K71" i="5"/>
  <c r="E47" i="5"/>
  <c r="E73" i="5"/>
  <c r="L213" i="5"/>
  <c r="L34" i="5" s="1"/>
  <c r="L60" i="5"/>
  <c r="L87" i="5" s="1"/>
  <c r="L78" i="5" s="1"/>
  <c r="D202" i="5"/>
  <c r="D66" i="5" s="1"/>
  <c r="D207" i="5"/>
  <c r="D192" i="5"/>
  <c r="D199" i="5"/>
  <c r="D63" i="5" s="1"/>
  <c r="D203" i="5"/>
  <c r="D67" i="5" s="1"/>
  <c r="D204" i="5"/>
  <c r="D68" i="5" s="1"/>
  <c r="D205" i="5"/>
  <c r="D69" i="5" s="1"/>
  <c r="D201" i="5"/>
  <c r="D65" i="5" s="1"/>
  <c r="D195" i="5"/>
  <c r="D59" i="5" s="1"/>
  <c r="D198" i="5"/>
  <c r="D62" i="5" s="1"/>
  <c r="D208" i="5"/>
  <c r="D72" i="5" s="1"/>
  <c r="D206" i="5"/>
  <c r="D70" i="5" s="1"/>
  <c r="D193" i="5"/>
  <c r="D58" i="5" s="1"/>
  <c r="D200" i="5"/>
  <c r="D64" i="5" s="1"/>
  <c r="D194" i="5"/>
  <c r="B62" i="18"/>
  <c r="B55" i="18"/>
  <c r="B61" i="18"/>
  <c r="B56" i="18"/>
  <c r="B90" i="5"/>
  <c r="B96" i="5"/>
  <c r="H56" i="18"/>
  <c r="I55" i="18"/>
  <c r="I57" i="18"/>
  <c r="I58" i="18"/>
  <c r="K40" i="18"/>
  <c r="J213" i="5"/>
  <c r="J34" i="5" s="1"/>
  <c r="J60" i="5"/>
  <c r="K213" i="5"/>
  <c r="K34" i="5" s="1"/>
  <c r="K60" i="5"/>
  <c r="K87" i="5" s="1"/>
  <c r="K78" i="5" s="1"/>
  <c r="K54" i="5"/>
  <c r="C87" i="5"/>
  <c r="J53" i="3"/>
  <c r="D196" i="5"/>
  <c r="H54" i="5"/>
  <c r="H210" i="5"/>
  <c r="E61" i="18"/>
  <c r="E55" i="18"/>
  <c r="E63" i="18" s="1"/>
  <c r="E56" i="18"/>
  <c r="E62" i="18"/>
  <c r="F49" i="5"/>
  <c r="F51" i="5" s="1"/>
  <c r="F77" i="5"/>
  <c r="C49" i="5"/>
  <c r="C51" i="5" s="1"/>
  <c r="C77" i="5"/>
  <c r="B30" i="18"/>
  <c r="E210" i="5"/>
  <c r="B99" i="5"/>
  <c r="B100" i="5" s="1"/>
  <c r="B101" i="5" s="1"/>
  <c r="B79" i="5" s="1"/>
  <c r="B97" i="5"/>
  <c r="F89" i="5"/>
  <c r="F99" i="5"/>
  <c r="F100" i="5" s="1"/>
  <c r="F101" i="5" s="1"/>
  <c r="F79" i="5" s="1"/>
  <c r="H24" i="18"/>
  <c r="H29" i="18" s="1"/>
  <c r="H30" i="18" s="1"/>
  <c r="H140" i="18"/>
  <c r="E30" i="18"/>
  <c r="J195" i="5"/>
  <c r="J59" i="5" s="1"/>
  <c r="J203" i="5"/>
  <c r="J67" i="5" s="1"/>
  <c r="J199" i="5"/>
  <c r="J63" i="5" s="1"/>
  <c r="J202" i="5"/>
  <c r="J66" i="5" s="1"/>
  <c r="J208" i="5"/>
  <c r="J72" i="5" s="1"/>
  <c r="J205" i="5"/>
  <c r="J69" i="5" s="1"/>
  <c r="J204" i="5"/>
  <c r="J68" i="5" s="1"/>
  <c r="J201" i="5"/>
  <c r="J65" i="5" s="1"/>
  <c r="J200" i="5"/>
  <c r="J64" i="5" s="1"/>
  <c r="J194" i="5"/>
  <c r="J193" i="5"/>
  <c r="J58" i="5" s="1"/>
  <c r="J206" i="5"/>
  <c r="J70" i="5" s="1"/>
  <c r="J198" i="5"/>
  <c r="J62" i="5" s="1"/>
  <c r="J207" i="5"/>
  <c r="J192" i="5"/>
  <c r="M83" i="5"/>
  <c r="M84" i="5" s="1"/>
  <c r="M90" i="5"/>
  <c r="M94" i="5"/>
  <c r="M99" i="5"/>
  <c r="M100" i="5" s="1"/>
  <c r="M101" i="5" s="1"/>
  <c r="M79" i="5" s="1"/>
  <c r="M96" i="5"/>
  <c r="M98" i="5"/>
  <c r="M86" i="5"/>
  <c r="M91" i="5"/>
  <c r="M97" i="5"/>
  <c r="M92" i="5"/>
  <c r="M89" i="5"/>
  <c r="M93" i="5"/>
  <c r="M95" i="5"/>
  <c r="G55" i="18"/>
  <c r="G196" i="5"/>
  <c r="F210" i="5"/>
  <c r="E38" i="18" l="1"/>
  <c r="E37" i="18"/>
  <c r="E45" i="18"/>
  <c r="E39" i="18"/>
  <c r="E46" i="18"/>
  <c r="E40" i="18"/>
  <c r="G213" i="5"/>
  <c r="G34" i="5" s="1"/>
  <c r="G60" i="5"/>
  <c r="G87" i="5" s="1"/>
  <c r="G78" i="5" s="1"/>
  <c r="K47" i="5"/>
  <c r="K73" i="5"/>
  <c r="K49" i="5"/>
  <c r="K51" i="5" s="1"/>
  <c r="K77" i="5"/>
  <c r="I89" i="5"/>
  <c r="H83" i="5"/>
  <c r="H84" i="5" s="1"/>
  <c r="H99" i="5"/>
  <c r="H92" i="5"/>
  <c r="H98" i="5"/>
  <c r="H91" i="5"/>
  <c r="H97" i="5"/>
  <c r="H90" i="5"/>
  <c r="H96" i="5"/>
  <c r="H89" i="5"/>
  <c r="H95" i="5"/>
  <c r="H94" i="5"/>
  <c r="H86" i="5"/>
  <c r="H93" i="5"/>
  <c r="J87" i="5"/>
  <c r="J78" i="5" s="1"/>
  <c r="I99" i="5"/>
  <c r="I100" i="5" s="1"/>
  <c r="I101" i="5" s="1"/>
  <c r="I79" i="5" s="1"/>
  <c r="I96" i="5"/>
  <c r="G40" i="18"/>
  <c r="B41" i="18"/>
  <c r="D213" i="5"/>
  <c r="D34" i="5" s="1"/>
  <c r="D60" i="5"/>
  <c r="D87" i="5" s="1"/>
  <c r="D78" i="5" s="1"/>
  <c r="J77" i="5"/>
  <c r="L49" i="5"/>
  <c r="L51" i="5" s="1"/>
  <c r="L77" i="5"/>
  <c r="E75" i="5"/>
  <c r="C75" i="5"/>
  <c r="I95" i="5"/>
  <c r="I97" i="5"/>
  <c r="L63" i="18"/>
  <c r="G39" i="18"/>
  <c r="G63" i="18"/>
  <c r="L47" i="5"/>
  <c r="L73" i="5"/>
  <c r="I39" i="18"/>
  <c r="I63" i="18"/>
  <c r="M63" i="18"/>
  <c r="M46" i="18" s="1"/>
  <c r="B63" i="18"/>
  <c r="B42" i="18" s="1"/>
  <c r="I94" i="5"/>
  <c r="I55" i="5"/>
  <c r="I85" i="5"/>
  <c r="I57" i="5" s="1"/>
  <c r="G46" i="18"/>
  <c r="G44" i="18"/>
  <c r="E48" i="18"/>
  <c r="C78" i="5"/>
  <c r="C91" i="5"/>
  <c r="C97" i="5"/>
  <c r="C89" i="5"/>
  <c r="C92" i="5"/>
  <c r="C99" i="5"/>
  <c r="C96" i="5"/>
  <c r="C98" i="5"/>
  <c r="C93" i="5"/>
  <c r="C94" i="5"/>
  <c r="C95" i="5"/>
  <c r="C90" i="5"/>
  <c r="D63" i="18"/>
  <c r="F63" i="18"/>
  <c r="E78" i="5"/>
  <c r="E95" i="5"/>
  <c r="E94" i="5"/>
  <c r="E91" i="5"/>
  <c r="E99" i="5"/>
  <c r="E96" i="5"/>
  <c r="E93" i="5"/>
  <c r="E98" i="5"/>
  <c r="E89" i="5"/>
  <c r="E90" i="5"/>
  <c r="E92" i="5"/>
  <c r="E97" i="5"/>
  <c r="F46" i="18"/>
  <c r="G45" i="18"/>
  <c r="D44" i="18"/>
  <c r="G43" i="18"/>
  <c r="K83" i="5"/>
  <c r="K84" i="5" s="1"/>
  <c r="K96" i="5"/>
  <c r="K86" i="5"/>
  <c r="K95" i="5"/>
  <c r="K91" i="5"/>
  <c r="K89" i="5"/>
  <c r="K92" i="5"/>
  <c r="K99" i="5"/>
  <c r="K93" i="5"/>
  <c r="K98" i="5"/>
  <c r="K90" i="5"/>
  <c r="K94" i="5"/>
  <c r="K97" i="5"/>
  <c r="M55" i="5"/>
  <c r="M85" i="5"/>
  <c r="M57" i="5" s="1"/>
  <c r="E42" i="18"/>
  <c r="K210" i="5"/>
  <c r="I43" i="18"/>
  <c r="B47" i="18"/>
  <c r="I42" i="18"/>
  <c r="E44" i="18"/>
  <c r="F44" i="18"/>
  <c r="I90" i="5"/>
  <c r="G212" i="5"/>
  <c r="G35" i="5" s="1"/>
  <c r="C44" i="18"/>
  <c r="G54" i="5"/>
  <c r="F42" i="18"/>
  <c r="H63" i="18"/>
  <c r="H41" i="18" s="1"/>
  <c r="D212" i="5"/>
  <c r="D35" i="5" s="1"/>
  <c r="J54" i="5"/>
  <c r="J210" i="5"/>
  <c r="E43" i="18"/>
  <c r="E41" i="18"/>
  <c r="D54" i="5"/>
  <c r="D210" i="5"/>
  <c r="C39" i="18"/>
  <c r="C63" i="18"/>
  <c r="C43" i="18"/>
  <c r="L41" i="18"/>
  <c r="F47" i="18"/>
  <c r="B54" i="3"/>
  <c r="B56" i="3" s="1"/>
  <c r="B80" i="3"/>
  <c r="B82" i="3"/>
  <c r="G41" i="18"/>
  <c r="J209" i="5"/>
  <c r="J71" i="5"/>
  <c r="E47" i="18"/>
  <c r="B48" i="18"/>
  <c r="D209" i="5"/>
  <c r="D71" i="5"/>
  <c r="H47" i="5"/>
  <c r="H49" i="5" s="1"/>
  <c r="H51" i="5" s="1"/>
  <c r="H73" i="5"/>
  <c r="J63" i="18"/>
  <c r="J47" i="18" s="1"/>
  <c r="I98" i="5"/>
  <c r="I92" i="5"/>
  <c r="D42" i="18"/>
  <c r="K37" i="18"/>
  <c r="K49" i="18" s="1"/>
  <c r="K38" i="18"/>
  <c r="K45" i="18"/>
  <c r="L83" i="5"/>
  <c r="L84" i="5" s="1"/>
  <c r="L96" i="5"/>
  <c r="L95" i="5"/>
  <c r="L86" i="5"/>
  <c r="L94" i="5"/>
  <c r="L93" i="5"/>
  <c r="L89" i="5"/>
  <c r="L99" i="5"/>
  <c r="L100" i="5" s="1"/>
  <c r="L101" i="5" s="1"/>
  <c r="L79" i="5" s="1"/>
  <c r="L92" i="5"/>
  <c r="L98" i="5"/>
  <c r="L91" i="5"/>
  <c r="L97" i="5"/>
  <c r="L90" i="5"/>
  <c r="G209" i="5"/>
  <c r="G71" i="5"/>
  <c r="L48" i="18"/>
  <c r="F41" i="18"/>
  <c r="I46" i="18"/>
  <c r="L55" i="5" l="1"/>
  <c r="L75" i="5" s="1"/>
  <c r="L85" i="5"/>
  <c r="L57" i="5" s="1"/>
  <c r="L38" i="18"/>
  <c r="L37" i="18"/>
  <c r="L43" i="18"/>
  <c r="L44" i="18"/>
  <c r="J48" i="18"/>
  <c r="F37" i="18"/>
  <c r="F38" i="18"/>
  <c r="F39" i="18"/>
  <c r="F45" i="18"/>
  <c r="L46" i="18"/>
  <c r="M39" i="18"/>
  <c r="L39" i="18"/>
  <c r="M40" i="18"/>
  <c r="J41" i="18"/>
  <c r="M45" i="18"/>
  <c r="J42" i="18"/>
  <c r="G49" i="5"/>
  <c r="G51" i="5" s="1"/>
  <c r="G77" i="5"/>
  <c r="G47" i="5"/>
  <c r="G73" i="5"/>
  <c r="J47" i="5"/>
  <c r="J49" i="5" s="1"/>
  <c r="J51" i="5" s="1"/>
  <c r="J73" i="5"/>
  <c r="C38" i="18"/>
  <c r="C37" i="18"/>
  <c r="C47" i="18"/>
  <c r="C41" i="18"/>
  <c r="C42" i="18"/>
  <c r="C48" i="18"/>
  <c r="J83" i="5"/>
  <c r="J84" i="5" s="1"/>
  <c r="J96" i="5"/>
  <c r="J91" i="5"/>
  <c r="J95" i="5"/>
  <c r="J89" i="5"/>
  <c r="J92" i="5"/>
  <c r="J93" i="5"/>
  <c r="J99" i="5"/>
  <c r="J90" i="5"/>
  <c r="J98" i="5"/>
  <c r="J94" i="5"/>
  <c r="J86" i="5"/>
  <c r="J97" i="5"/>
  <c r="C40" i="18"/>
  <c r="L40" i="18"/>
  <c r="F40" i="18"/>
  <c r="M41" i="18"/>
  <c r="I38" i="18"/>
  <c r="I37" i="18"/>
  <c r="I48" i="18"/>
  <c r="I47" i="18"/>
  <c r="M47" i="18"/>
  <c r="I40" i="18"/>
  <c r="I45" i="18"/>
  <c r="D38" i="18"/>
  <c r="D37" i="18"/>
  <c r="D48" i="18"/>
  <c r="D47" i="18"/>
  <c r="D41" i="18"/>
  <c r="L42" i="18"/>
  <c r="F48" i="18"/>
  <c r="M42" i="18"/>
  <c r="M48" i="18"/>
  <c r="E100" i="5"/>
  <c r="E101" i="5" s="1"/>
  <c r="E79" i="5" s="1"/>
  <c r="D39" i="18"/>
  <c r="I75" i="5"/>
  <c r="L47" i="18"/>
  <c r="H55" i="5"/>
  <c r="H85" i="5"/>
  <c r="H57" i="5" s="1"/>
  <c r="H38" i="18"/>
  <c r="H37" i="18"/>
  <c r="H49" i="18" s="1"/>
  <c r="H48" i="18"/>
  <c r="H47" i="18"/>
  <c r="C46" i="18"/>
  <c r="D47" i="5"/>
  <c r="D73" i="5"/>
  <c r="D83" i="5"/>
  <c r="D84" i="5" s="1"/>
  <c r="D96" i="5"/>
  <c r="D90" i="5"/>
  <c r="D95" i="5"/>
  <c r="D86" i="5"/>
  <c r="D94" i="5"/>
  <c r="D91" i="5"/>
  <c r="D99" i="5"/>
  <c r="D89" i="5"/>
  <c r="D92" i="5"/>
  <c r="D98" i="5"/>
  <c r="D97" i="5"/>
  <c r="D93" i="5"/>
  <c r="H39" i="18"/>
  <c r="K55" i="5"/>
  <c r="K85" i="5"/>
  <c r="K57" i="5" s="1"/>
  <c r="C100" i="5"/>
  <c r="C101" i="5" s="1"/>
  <c r="C79" i="5" s="1"/>
  <c r="H45" i="18"/>
  <c r="L45" i="18"/>
  <c r="C45" i="18"/>
  <c r="G83" i="5"/>
  <c r="G84" i="5" s="1"/>
  <c r="G89" i="5"/>
  <c r="G92" i="5"/>
  <c r="G99" i="5"/>
  <c r="G98" i="5"/>
  <c r="G93" i="5"/>
  <c r="G97" i="5"/>
  <c r="G90" i="5"/>
  <c r="G96" i="5"/>
  <c r="G86" i="5"/>
  <c r="G94" i="5"/>
  <c r="G95" i="5"/>
  <c r="G91" i="5"/>
  <c r="K100" i="5"/>
  <c r="K101" i="5" s="1"/>
  <c r="K79" i="5" s="1"/>
  <c r="H40" i="18"/>
  <c r="I44" i="18"/>
  <c r="D40" i="18"/>
  <c r="G37" i="18"/>
  <c r="G38" i="18"/>
  <c r="G48" i="18"/>
  <c r="G47" i="18"/>
  <c r="D49" i="5"/>
  <c r="D51" i="5" s="1"/>
  <c r="D77" i="5"/>
  <c r="H43" i="18"/>
  <c r="G42" i="18"/>
  <c r="E49" i="18"/>
  <c r="J38" i="18"/>
  <c r="J37" i="18"/>
  <c r="J39" i="18"/>
  <c r="J44" i="18"/>
  <c r="J43" i="18"/>
  <c r="J46" i="18"/>
  <c r="J45" i="18"/>
  <c r="J40" i="18"/>
  <c r="M37" i="18"/>
  <c r="M38" i="18"/>
  <c r="M44" i="18"/>
  <c r="M43" i="18"/>
  <c r="H42" i="18"/>
  <c r="H46" i="18"/>
  <c r="G210" i="5"/>
  <c r="D45" i="18"/>
  <c r="M75" i="5"/>
  <c r="D43" i="18"/>
  <c r="B37" i="18"/>
  <c r="B38" i="18"/>
  <c r="B40" i="18"/>
  <c r="B46" i="18"/>
  <c r="B39" i="18"/>
  <c r="B45" i="18"/>
  <c r="B44" i="18"/>
  <c r="B43" i="18"/>
  <c r="D46" i="18"/>
  <c r="F43" i="18"/>
  <c r="H100" i="5"/>
  <c r="H101" i="5" s="1"/>
  <c r="H79" i="5" s="1"/>
  <c r="H44" i="18"/>
  <c r="I41" i="18"/>
  <c r="J55" i="5" l="1"/>
  <c r="J85" i="5"/>
  <c r="J57" i="5" s="1"/>
  <c r="M49" i="18"/>
  <c r="D100" i="5"/>
  <c r="D101" i="5" s="1"/>
  <c r="D79" i="5" s="1"/>
  <c r="D55" i="5"/>
  <c r="D85" i="5"/>
  <c r="D57" i="5" s="1"/>
  <c r="J100" i="5"/>
  <c r="J101" i="5" s="1"/>
  <c r="J79" i="5" s="1"/>
  <c r="B49" i="18"/>
  <c r="F49" i="18"/>
  <c r="J49" i="18"/>
  <c r="G100" i="5"/>
  <c r="G101" i="5" s="1"/>
  <c r="G79" i="5" s="1"/>
  <c r="G49" i="18"/>
  <c r="K75" i="5"/>
  <c r="H75" i="5"/>
  <c r="L49" i="18"/>
  <c r="G55" i="5"/>
  <c r="G75" i="5" s="1"/>
  <c r="G85" i="5"/>
  <c r="G57" i="5" s="1"/>
  <c r="I49" i="18"/>
  <c r="C49" i="18"/>
  <c r="D49" i="18"/>
  <c r="D75" i="5" l="1"/>
  <c r="J75" i="5"/>
</calcChain>
</file>

<file path=xl/sharedStrings.xml><?xml version="1.0" encoding="utf-8"?>
<sst xmlns="http://schemas.openxmlformats.org/spreadsheetml/2006/main" count="1515" uniqueCount="531">
  <si>
    <t>Sample</t>
  </si>
  <si>
    <t>8824b</t>
  </si>
  <si>
    <t>9127b</t>
  </si>
  <si>
    <t>871a*</t>
  </si>
  <si>
    <t>an.</t>
  </si>
  <si>
    <t>K2O</t>
  </si>
  <si>
    <t>CaO</t>
  </si>
  <si>
    <t>TiO2</t>
  </si>
  <si>
    <t>Cr2O3</t>
  </si>
  <si>
    <t>MnO</t>
  </si>
  <si>
    <t>FeO</t>
  </si>
  <si>
    <t>NiO</t>
  </si>
  <si>
    <t>Na2O</t>
  </si>
  <si>
    <t>SiO2</t>
  </si>
  <si>
    <t>Al2O3</t>
  </si>
  <si>
    <t>MgO</t>
  </si>
  <si>
    <t>TOTAL</t>
  </si>
  <si>
    <t>Cations per O:8</t>
  </si>
  <si>
    <t>Si</t>
  </si>
  <si>
    <t xml:space="preserve">Al </t>
  </si>
  <si>
    <t>Ti</t>
  </si>
  <si>
    <t>Cr</t>
  </si>
  <si>
    <t>Fe++</t>
  </si>
  <si>
    <t>Mn</t>
  </si>
  <si>
    <t>Mg</t>
  </si>
  <si>
    <t>Ni</t>
  </si>
  <si>
    <t>Ca</t>
  </si>
  <si>
    <t>Na</t>
  </si>
  <si>
    <t>K</t>
  </si>
  <si>
    <t>XAn</t>
  </si>
  <si>
    <t>87.1a</t>
  </si>
  <si>
    <t>3cb</t>
  </si>
  <si>
    <t>4b</t>
  </si>
  <si>
    <t>5c</t>
  </si>
  <si>
    <t>8b</t>
  </si>
  <si>
    <t>9bbc</t>
  </si>
  <si>
    <t>10cb</t>
  </si>
  <si>
    <t>11c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</si>
  <si>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</si>
  <si>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</si>
  <si>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</si>
  <si>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</si>
  <si>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</si>
  <si>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</si>
  <si>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</si>
  <si>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</si>
  <si>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</si>
  <si>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</si>
  <si>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Calcular f.av = (menor (f1 a f5) + mayor (f6 a f10))/2</t>
  </si>
  <si>
    <t>f.av</t>
  </si>
  <si>
    <t>Cations per 23 oxygens</t>
  </si>
  <si>
    <t>Fe3+</t>
  </si>
  <si>
    <t>Fe2+</t>
  </si>
  <si>
    <t>cm</t>
  </si>
  <si>
    <t>XSi,T1</t>
  </si>
  <si>
    <t>XAl,T1</t>
  </si>
  <si>
    <t>XAl,M2</t>
  </si>
  <si>
    <t>XK,A</t>
  </si>
  <si>
    <t>X0,A</t>
  </si>
  <si>
    <t>XNa,A</t>
  </si>
  <si>
    <t>XNa,M4</t>
  </si>
  <si>
    <t>XCa,M4</t>
  </si>
  <si>
    <t>Fe2/R2</t>
  </si>
  <si>
    <t>Fe3/R3</t>
  </si>
  <si>
    <t>e</t>
  </si>
  <si>
    <t>s-e</t>
  </si>
  <si>
    <t>(s)</t>
  </si>
  <si>
    <t>(e)</t>
  </si>
  <si>
    <t>e+s</t>
  </si>
  <si>
    <t>e-m</t>
  </si>
  <si>
    <t>g</t>
  </si>
  <si>
    <t>P1</t>
  </si>
  <si>
    <t>P2b</t>
  </si>
  <si>
    <t>91,27a</t>
  </si>
  <si>
    <t>91.27a</t>
  </si>
  <si>
    <t>P3</t>
  </si>
  <si>
    <t>87.1b</t>
  </si>
  <si>
    <t>97.gt</t>
  </si>
  <si>
    <t>98.gt</t>
  </si>
  <si>
    <t>81b.gt</t>
  </si>
  <si>
    <t>82c</t>
  </si>
  <si>
    <t>92gt</t>
  </si>
  <si>
    <t>id.claro</t>
  </si>
  <si>
    <t>96gt</t>
  </si>
  <si>
    <t>25*</t>
  </si>
  <si>
    <t>114.gt</t>
  </si>
  <si>
    <t>30.gt</t>
  </si>
  <si>
    <t>10(gt)</t>
  </si>
  <si>
    <t>11(gt)</t>
  </si>
  <si>
    <t>12(gt)</t>
  </si>
  <si>
    <t>AlIV</t>
  </si>
  <si>
    <t>AlVI</t>
  </si>
  <si>
    <t>M13</t>
  </si>
  <si>
    <t>Exc. M13</t>
  </si>
  <si>
    <t>Na-M4</t>
  </si>
  <si>
    <t>M4</t>
  </si>
  <si>
    <t>Na-A</t>
  </si>
  <si>
    <t>A-sites</t>
  </si>
  <si>
    <t>Natot</t>
  </si>
  <si>
    <t>ècat</t>
  </si>
  <si>
    <t xml:space="preserve">Altot </t>
  </si>
  <si>
    <t>Fe2O3</t>
  </si>
  <si>
    <t>Fetot</t>
  </si>
  <si>
    <t>parámetros para geotermometría de Holland &amp; Blundy (1994)</t>
  </si>
  <si>
    <t>LISTA DE ERRORES</t>
  </si>
  <si>
    <t>1 = Al(total) + Si &lt; 8 (not enough Al)</t>
  </si>
  <si>
    <t>2 = Total Sum of Cations &lt; 15 (NO edenite)</t>
  </si>
  <si>
    <t xml:space="preserve">3 = K &gt; A-site occupancy (K on M4???) </t>
  </si>
  <si>
    <t>4 = Ca + Na (M4) &gt; 2</t>
  </si>
  <si>
    <t>5 = Ca &gt; 2 (Ca on M1-3 ???)</t>
  </si>
  <si>
    <t>6 = Al(IV) - Na(M4) &lt; Na+K(A) (not enough Al(IV))</t>
  </si>
  <si>
    <t>7 = Al(IV) &lt; 2*Ti</t>
  </si>
  <si>
    <t>8 = M13&lt; 4.98</t>
  </si>
  <si>
    <t>9 = Al(VI) + Cr + Fe3+ + Ti &gt;2.5</t>
  </si>
  <si>
    <t>10 = Total Sum of Cations &gt; 16</t>
  </si>
  <si>
    <t>11 = Si &lt; 5</t>
  </si>
  <si>
    <t>871a</t>
  </si>
  <si>
    <t>137gt</t>
  </si>
  <si>
    <t>FeOt</t>
  </si>
  <si>
    <t>FeO.calc</t>
  </si>
  <si>
    <t>Fe2O3.calc</t>
  </si>
  <si>
    <t>Cations per O=11,Fe2,Fe3:Bruiyn et al'83 JTrMicrTech</t>
  </si>
  <si>
    <t>Al.IV</t>
  </si>
  <si>
    <t>Al .VI</t>
  </si>
  <si>
    <t>Fe+++</t>
  </si>
  <si>
    <t>Xmg</t>
  </si>
  <si>
    <t>Chlorite formula unit calculator and variety namer</t>
  </si>
  <si>
    <t>Based on 28 oxygens and with Fe2+/Fe3+ and OH calculated assuming full site occupancy</t>
  </si>
  <si>
    <t>Representative Caledonian granites from NE Scotland</t>
  </si>
  <si>
    <t>Deer, Howie &amp; Zussman</t>
  </si>
  <si>
    <t>Input data</t>
  </si>
  <si>
    <t>PW519</t>
  </si>
  <si>
    <t>N209</t>
  </si>
  <si>
    <t>CG217</t>
  </si>
  <si>
    <t>PW158</t>
  </si>
  <si>
    <t>PW62</t>
  </si>
  <si>
    <t>Sheridanite</t>
  </si>
  <si>
    <t>Ripidolite</t>
  </si>
  <si>
    <t>Clinochlore</t>
  </si>
  <si>
    <t>Pycnochlorite</t>
  </si>
  <si>
    <t>here</t>
  </si>
  <si>
    <t>FFH</t>
  </si>
  <si>
    <t>WWC</t>
  </si>
  <si>
    <t>PWH</t>
  </si>
  <si>
    <t>ZQB</t>
  </si>
  <si>
    <t>ZQE</t>
  </si>
  <si>
    <t>RRB</t>
  </si>
  <si>
    <t>RRC</t>
  </si>
  <si>
    <t>RRD</t>
  </si>
  <si>
    <t>BaO</t>
  </si>
  <si>
    <t>Rb2O</t>
  </si>
  <si>
    <t>Cs2O</t>
  </si>
  <si>
    <t>ZnO</t>
  </si>
  <si>
    <t>F</t>
  </si>
  <si>
    <t>Cl</t>
  </si>
  <si>
    <t>No. of oxygens</t>
  </si>
  <si>
    <t>Reformatted oxide percentages based on 28 oxygens (with Fe2+/Fe3+ and OH calculated assuming full site occupancy)</t>
  </si>
  <si>
    <t>H2O*</t>
  </si>
  <si>
    <t>Total</t>
  </si>
  <si>
    <t>O=F,Cl</t>
  </si>
  <si>
    <t>Al iv</t>
  </si>
  <si>
    <t>Al vi</t>
  </si>
  <si>
    <t>Zn</t>
  </si>
  <si>
    <t>Ba</t>
  </si>
  <si>
    <t>Rb</t>
  </si>
  <si>
    <t>OH*</t>
  </si>
  <si>
    <t>Oxidized</t>
  </si>
  <si>
    <t>Fe/Fe+Mg</t>
  </si>
  <si>
    <t>Variety</t>
  </si>
  <si>
    <t>Al total</t>
  </si>
  <si>
    <t>Al iv (1)</t>
  </si>
  <si>
    <t>Al iv (2)</t>
  </si>
  <si>
    <t>Namer</t>
  </si>
  <si>
    <t>Variety inter</t>
  </si>
  <si>
    <t>Variety final</t>
  </si>
  <si>
    <t>anion props. (E)</t>
  </si>
  <si>
    <t>raw anions</t>
  </si>
  <si>
    <t>Al</t>
  </si>
  <si>
    <t>F,Cl corr</t>
  </si>
  <si>
    <t>no. of O</t>
  </si>
  <si>
    <t>raw cations</t>
  </si>
  <si>
    <t>formula based on 36 O</t>
  </si>
  <si>
    <t>Fe3+ = 0 if Fe3+ &lt; 0</t>
  </si>
  <si>
    <t>Fe2+ = total Fe2+ - Fe3+</t>
  </si>
  <si>
    <t>Fe3+ = total Fe2+ if Fe3+ &gt; total Fe2+</t>
  </si>
  <si>
    <t>Fe2+ = 0 if Fe3+ &gt; total Fe2+</t>
  </si>
  <si>
    <t>Intermediate 36 O</t>
  </si>
  <si>
    <t>F factor</t>
  </si>
  <si>
    <t>Formula based on 36 oxygens inc. Fe2/Fe3</t>
  </si>
  <si>
    <t>FeO calc</t>
  </si>
  <si>
    <t>Fe2O3 calc</t>
  </si>
  <si>
    <t>24b</t>
  </si>
  <si>
    <t>Formula:  Ox=14,Pognante RendSocItMinPetr,43-3,687-704,1989</t>
  </si>
  <si>
    <t>XFe</t>
  </si>
  <si>
    <t>Xclinocl</t>
  </si>
  <si>
    <t>Xcorund</t>
  </si>
  <si>
    <t>analisi</t>
  </si>
  <si>
    <t>TIO2</t>
  </si>
  <si>
    <t>AL2O3</t>
  </si>
  <si>
    <t>CR2O3</t>
  </si>
  <si>
    <t>FEO</t>
  </si>
  <si>
    <t>MNO</t>
  </si>
  <si>
    <t>MGO</t>
  </si>
  <si>
    <t>CAO</t>
  </si>
  <si>
    <t>NA2O</t>
  </si>
  <si>
    <t>SIO2</t>
  </si>
  <si>
    <t xml:space="preserve">factor </t>
  </si>
  <si>
    <t>(S)</t>
  </si>
  <si>
    <t>formula: 8 cations and 12 oxygens</t>
  </si>
  <si>
    <t>newTotal</t>
  </si>
  <si>
    <t>Alm+Sp</t>
  </si>
  <si>
    <t>Gr</t>
  </si>
  <si>
    <t>Py</t>
  </si>
  <si>
    <t>mg*</t>
  </si>
  <si>
    <t>()</t>
  </si>
  <si>
    <t>24c</t>
  </si>
  <si>
    <t>EO430</t>
  </si>
  <si>
    <t>9127a</t>
  </si>
  <si>
    <t>x-5</t>
  </si>
  <si>
    <t>80.anf</t>
  </si>
  <si>
    <t>94.ky</t>
  </si>
  <si>
    <t>95.gt</t>
  </si>
  <si>
    <t>13b</t>
  </si>
  <si>
    <t>14cb</t>
  </si>
  <si>
    <t>116c</t>
  </si>
  <si>
    <t>117b</t>
  </si>
  <si>
    <t>119c</t>
  </si>
  <si>
    <t>120b</t>
  </si>
  <si>
    <t>7c</t>
  </si>
  <si>
    <t>10c</t>
  </si>
  <si>
    <t>11b</t>
  </si>
  <si>
    <t>13c</t>
  </si>
  <si>
    <t>14b</t>
  </si>
  <si>
    <t>formula: 8 cations and 12.5 oxygens, Fe3+=3-Alvi-Ti-Cr</t>
  </si>
  <si>
    <t>Al.VI</t>
  </si>
  <si>
    <t>Total.calc</t>
  </si>
  <si>
    <t>%pist.</t>
  </si>
  <si>
    <t>a.zo/czo</t>
  </si>
  <si>
    <t>An.</t>
  </si>
  <si>
    <t>55m</t>
  </si>
  <si>
    <t>Formula: Si=4, Deer et al 1982,vol.1A</t>
  </si>
  <si>
    <t>3a</t>
  </si>
  <si>
    <t>99b</t>
  </si>
  <si>
    <t>100bbc</t>
  </si>
  <si>
    <t>101bcc</t>
  </si>
  <si>
    <t>102c</t>
  </si>
  <si>
    <t>128b</t>
  </si>
  <si>
    <t>129c</t>
  </si>
  <si>
    <t>130_</t>
  </si>
  <si>
    <t>131bc</t>
  </si>
  <si>
    <t>132c</t>
  </si>
  <si>
    <t>73b._</t>
  </si>
  <si>
    <t>74bbc</t>
  </si>
  <si>
    <t>75bcc</t>
  </si>
  <si>
    <t>76c</t>
  </si>
  <si>
    <t>83.anf</t>
  </si>
  <si>
    <t>86b._</t>
  </si>
  <si>
    <t>87bbc</t>
  </si>
  <si>
    <t>88bcc</t>
  </si>
  <si>
    <t>89c</t>
  </si>
  <si>
    <t>38b.anf</t>
  </si>
  <si>
    <t>39bbc</t>
  </si>
  <si>
    <t>40c</t>
  </si>
  <si>
    <t>23b.q</t>
  </si>
  <si>
    <t>24bc</t>
  </si>
  <si>
    <t>25c</t>
  </si>
  <si>
    <t>26b.q</t>
  </si>
  <si>
    <t>27bc</t>
  </si>
  <si>
    <t>28c</t>
  </si>
  <si>
    <t>42b.q</t>
  </si>
  <si>
    <t>43bc</t>
  </si>
  <si>
    <t>44c</t>
  </si>
  <si>
    <t>20b</t>
  </si>
  <si>
    <t>21bbc</t>
  </si>
  <si>
    <t>22bcc</t>
  </si>
  <si>
    <t>23c</t>
  </si>
  <si>
    <t>60bQ*</t>
  </si>
  <si>
    <t>61bc</t>
  </si>
  <si>
    <t>62c?</t>
  </si>
  <si>
    <t>74b._</t>
  </si>
  <si>
    <t>75bc</t>
  </si>
  <si>
    <t>3b.Q</t>
  </si>
  <si>
    <t>4bc*</t>
  </si>
  <si>
    <t>5bbc</t>
  </si>
  <si>
    <t>6c</t>
  </si>
  <si>
    <t>15._</t>
  </si>
  <si>
    <t>1b</t>
  </si>
  <si>
    <t>2bbc</t>
  </si>
  <si>
    <t>3c</t>
  </si>
  <si>
    <t>4c</t>
  </si>
  <si>
    <t>91b</t>
  </si>
  <si>
    <t>92bc</t>
  </si>
  <si>
    <t>93c</t>
  </si>
  <si>
    <t>15bbc</t>
  </si>
  <si>
    <t>16cb</t>
  </si>
  <si>
    <t>17c</t>
  </si>
  <si>
    <t>136c</t>
  </si>
  <si>
    <t>69c</t>
  </si>
  <si>
    <t>70b</t>
  </si>
  <si>
    <t>71c</t>
  </si>
  <si>
    <t>72.id69</t>
  </si>
  <si>
    <t>formula: 8 cations and 12 oxygens, Fe3+=2-Alvi-Ti-Cr</t>
  </si>
  <si>
    <t>s-e(e)</t>
  </si>
  <si>
    <t>P3*</t>
  </si>
  <si>
    <t>x-2</t>
  </si>
  <si>
    <t>x-3</t>
  </si>
  <si>
    <t>x-4</t>
  </si>
  <si>
    <t>x-1</t>
  </si>
  <si>
    <t>103c</t>
  </si>
  <si>
    <t>104b</t>
  </si>
  <si>
    <t>105.II</t>
  </si>
  <si>
    <t>108.gt</t>
  </si>
  <si>
    <t>109c</t>
  </si>
  <si>
    <t>110b</t>
  </si>
  <si>
    <t>id.109</t>
  </si>
  <si>
    <t>126c</t>
  </si>
  <si>
    <t>127cb</t>
  </si>
  <si>
    <t>128_</t>
  </si>
  <si>
    <t>36cb</t>
  </si>
  <si>
    <t>37b.gt</t>
  </si>
  <si>
    <t>16._</t>
  </si>
  <si>
    <t>27.gt</t>
  </si>
  <si>
    <t>28.c</t>
  </si>
  <si>
    <t>29b</t>
  </si>
  <si>
    <t>z4</t>
  </si>
  <si>
    <t>z5</t>
  </si>
  <si>
    <t>z7</t>
  </si>
  <si>
    <t>55c</t>
  </si>
  <si>
    <t>56b.q</t>
  </si>
  <si>
    <t>58c</t>
  </si>
  <si>
    <t>59b.q</t>
  </si>
  <si>
    <t>63c</t>
  </si>
  <si>
    <t>72c</t>
  </si>
  <si>
    <t>73b.gt</t>
  </si>
  <si>
    <t>139gt</t>
  </si>
  <si>
    <t>140_</t>
  </si>
  <si>
    <t>141c</t>
  </si>
  <si>
    <t>142Q</t>
  </si>
  <si>
    <t>118_</t>
  </si>
  <si>
    <t>121ky</t>
  </si>
  <si>
    <t>123id.b</t>
  </si>
  <si>
    <t>1c</t>
  </si>
  <si>
    <t>id.b</t>
  </si>
  <si>
    <t>9.gt</t>
  </si>
  <si>
    <t>6(gt)</t>
  </si>
  <si>
    <t>7(gt)</t>
  </si>
  <si>
    <t>9(gt)</t>
  </si>
  <si>
    <t>Cr2O32</t>
  </si>
  <si>
    <t>Cations per 11 Ox.</t>
  </si>
  <si>
    <t>Si (T)</t>
  </si>
  <si>
    <t>Al.iv (T)</t>
  </si>
  <si>
    <t>Al.vi (M2)</t>
  </si>
  <si>
    <t>Ti (M2)</t>
  </si>
  <si>
    <t>Cr (M2)</t>
  </si>
  <si>
    <t>Mn (M2)</t>
  </si>
  <si>
    <t>Ni (M2)</t>
  </si>
  <si>
    <t xml:space="preserve">Fe2+total </t>
  </si>
  <si>
    <t>Fe2+ (M2)</t>
  </si>
  <si>
    <t>Mg.total</t>
  </si>
  <si>
    <t>Mg (M2)</t>
  </si>
  <si>
    <t>Fe 2+ (M1)</t>
  </si>
  <si>
    <t>Mg (M1)</t>
  </si>
  <si>
    <t>Ca (M1)</t>
  </si>
  <si>
    <t>Vac. (M1)</t>
  </si>
  <si>
    <t>Na (A)</t>
  </si>
  <si>
    <t>K (A)</t>
  </si>
  <si>
    <t>X Si (T)</t>
  </si>
  <si>
    <t>X Al (M2)</t>
  </si>
  <si>
    <t>X Mg (M2)</t>
  </si>
  <si>
    <t>X Fe (M2)</t>
  </si>
  <si>
    <t>X vac (M1)</t>
  </si>
  <si>
    <t>X K(A)</t>
  </si>
  <si>
    <t>X MgCel</t>
  </si>
  <si>
    <t>X FeCel</t>
  </si>
  <si>
    <t>X Na(A)</t>
  </si>
  <si>
    <t>sux</t>
  </si>
  <si>
    <t>spr</t>
  </si>
  <si>
    <t>suo</t>
  </si>
  <si>
    <t>fems</t>
  </si>
  <si>
    <t>tims</t>
  </si>
  <si>
    <t>cel</t>
  </si>
  <si>
    <t>1.Ms</t>
  </si>
  <si>
    <t>2.Tri</t>
  </si>
  <si>
    <t>3.MgAlCel</t>
  </si>
  <si>
    <t>4.FeAlCel</t>
  </si>
  <si>
    <t>5.Par</t>
  </si>
  <si>
    <t>6.Rest</t>
  </si>
  <si>
    <t>P2B</t>
  </si>
  <si>
    <t>MT871b</t>
  </si>
  <si>
    <t>MT871</t>
  </si>
  <si>
    <t>MT871a</t>
  </si>
  <si>
    <t>15(inc.Gt)</t>
  </si>
  <si>
    <t>y1</t>
  </si>
  <si>
    <t>y3</t>
  </si>
  <si>
    <t>y4</t>
  </si>
  <si>
    <t>70ky</t>
  </si>
  <si>
    <t>z3</t>
  </si>
  <si>
    <t>57c</t>
  </si>
  <si>
    <t>122ky</t>
  </si>
  <si>
    <t>13ky</t>
  </si>
  <si>
    <t>8(gt)</t>
  </si>
  <si>
    <t>137st</t>
  </si>
  <si>
    <t>Cation proportions per 11 Ox.</t>
  </si>
  <si>
    <t>Cation proportions per 22 Ox.</t>
  </si>
  <si>
    <t>Al  IV (T)</t>
  </si>
  <si>
    <t>Al VI (M2)</t>
  </si>
  <si>
    <t>Fe 2+ (M2)</t>
  </si>
  <si>
    <t>è cationes</t>
  </si>
  <si>
    <t>X vac.(M1)</t>
  </si>
  <si>
    <t>A'</t>
  </si>
  <si>
    <t>106c</t>
  </si>
  <si>
    <t>107b</t>
  </si>
  <si>
    <t>112c</t>
  </si>
  <si>
    <t>113b</t>
  </si>
  <si>
    <t>133gt</t>
  </si>
  <si>
    <t>134bc</t>
  </si>
  <si>
    <t>135c</t>
  </si>
  <si>
    <t>71b.gt</t>
  </si>
  <si>
    <t>77ky</t>
  </si>
  <si>
    <t>84c</t>
  </si>
  <si>
    <t>85b,gt</t>
  </si>
  <si>
    <t>90c</t>
  </si>
  <si>
    <t>15c</t>
  </si>
  <si>
    <t>16c</t>
  </si>
  <si>
    <t>18b</t>
  </si>
  <si>
    <t>17.ms</t>
  </si>
  <si>
    <t>19id.c</t>
  </si>
  <si>
    <t>24idb.gt</t>
  </si>
  <si>
    <t>26b.gt</t>
  </si>
  <si>
    <t>31.gt</t>
  </si>
  <si>
    <t>64b.q</t>
  </si>
  <si>
    <t>65c</t>
  </si>
  <si>
    <t>66b.q</t>
  </si>
  <si>
    <t>67b.gt</t>
  </si>
  <si>
    <t>68c</t>
  </si>
  <si>
    <t>70b.rut</t>
  </si>
  <si>
    <t>138gt</t>
  </si>
  <si>
    <t>14.gt</t>
  </si>
  <si>
    <t>15Q</t>
  </si>
  <si>
    <t>17gt</t>
  </si>
  <si>
    <t>18c</t>
  </si>
  <si>
    <t>formula: 4 cations, 6 oxygens</t>
  </si>
  <si>
    <t>ècats</t>
  </si>
  <si>
    <t>Jd</t>
  </si>
  <si>
    <t>Acm</t>
  </si>
  <si>
    <t>Ca.FeTs</t>
  </si>
  <si>
    <t>Ca.TiTs</t>
  </si>
  <si>
    <t>Ca.Ts</t>
  </si>
  <si>
    <t>Di</t>
  </si>
  <si>
    <t>Hd</t>
  </si>
  <si>
    <t>En</t>
  </si>
  <si>
    <t>Fs</t>
  </si>
  <si>
    <t>xDi</t>
  </si>
  <si>
    <t>xHd</t>
  </si>
  <si>
    <t>xJd</t>
  </si>
  <si>
    <t>xOpx</t>
  </si>
  <si>
    <t>xTs</t>
  </si>
  <si>
    <t>xAc..</t>
  </si>
  <si>
    <t>sample</t>
  </si>
  <si>
    <t>id.c</t>
  </si>
  <si>
    <t>idb.gt</t>
  </si>
  <si>
    <t>XAlM1</t>
  </si>
  <si>
    <t>XFe3M1</t>
  </si>
  <si>
    <t>XCrM1</t>
  </si>
  <si>
    <t>XTiM1</t>
  </si>
  <si>
    <t>XMgM1</t>
  </si>
  <si>
    <t>XFeM1</t>
  </si>
  <si>
    <t>XMgM2</t>
  </si>
  <si>
    <t>XFeM2</t>
  </si>
  <si>
    <t>Molecules: Sakakibara,JPetr,32,2,1991</t>
  </si>
  <si>
    <t>X.Jd</t>
  </si>
  <si>
    <t>X.Ac</t>
  </si>
  <si>
    <t>X.Aug</t>
  </si>
  <si>
    <t>X.Di</t>
  </si>
  <si>
    <t>X.Hd</t>
  </si>
  <si>
    <t>Fe*</t>
  </si>
  <si>
    <t>sum</t>
  </si>
  <si>
    <t>cations</t>
  </si>
  <si>
    <t>oni</t>
  </si>
  <si>
    <t>ozn</t>
  </si>
  <si>
    <t>omn</t>
  </si>
  <si>
    <t>oca</t>
  </si>
  <si>
    <t>omg</t>
  </si>
  <si>
    <t>ofe</t>
  </si>
  <si>
    <t>o3fe</t>
  </si>
  <si>
    <t>o3cr</t>
  </si>
  <si>
    <t>o3al</t>
  </si>
  <si>
    <t>o2ti</t>
  </si>
  <si>
    <t>o2si</t>
  </si>
  <si>
    <t>4oxidnorm2</t>
  </si>
  <si>
    <t>norm2</t>
  </si>
  <si>
    <t>Fe3+?</t>
  </si>
  <si>
    <t>4oxidnorm</t>
  </si>
  <si>
    <t>oxidprp</t>
  </si>
  <si>
    <t>molprp</t>
  </si>
  <si>
    <t>norm</t>
  </si>
  <si>
    <t>Hercynite</t>
  </si>
  <si>
    <t>Spinel</t>
  </si>
  <si>
    <t>Magnetite</t>
  </si>
  <si>
    <t>Mg-ferrite</t>
  </si>
  <si>
    <t>chromite</t>
  </si>
  <si>
    <t>Mg-chromite</t>
  </si>
  <si>
    <t>galaxite</t>
  </si>
  <si>
    <t>gahnite</t>
  </si>
  <si>
    <t>jacobsite</t>
  </si>
  <si>
    <t>franklinite</t>
  </si>
  <si>
    <t>trevorite</t>
  </si>
  <si>
    <t>ulvöspinel</t>
  </si>
  <si>
    <t>percent endm.</t>
  </si>
  <si>
    <t>XMg</t>
  </si>
  <si>
    <t>Cr-spinels</t>
  </si>
  <si>
    <t>Fe3-spinels</t>
  </si>
  <si>
    <t>Al-spinels</t>
  </si>
  <si>
    <t>B</t>
  </si>
  <si>
    <t>A</t>
  </si>
  <si>
    <t>formula</t>
  </si>
  <si>
    <t/>
  </si>
  <si>
    <t>DHZ</t>
  </si>
  <si>
    <t>comment</t>
  </si>
  <si>
    <t>Mg-Chromite</t>
  </si>
  <si>
    <t>ülvospinel</t>
  </si>
  <si>
    <t>magnetite</t>
  </si>
  <si>
    <t>hercynite</t>
  </si>
  <si>
    <t>Fe-spinel</t>
  </si>
  <si>
    <t>ANT120-B-41</t>
  </si>
  <si>
    <t>ANT120-B-42</t>
  </si>
  <si>
    <t>ANT120-B-43</t>
  </si>
  <si>
    <t>ANT64-D-24</t>
  </si>
  <si>
    <t>ANT64-D-25</t>
  </si>
  <si>
    <t>ANT64-D-26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</si>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</sst>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,000"/>
    <numFmt numFmtId="166" formatCode="#,#00"/>
    <numFmt numFmtId="167" formatCode="#.000"/>
    <numFmt numFmtId="168" formatCode="0.0000"/>
  </numFmts>
  <fonts count="20">
    <font>
      <sz val="10"/>
      <name val="Geneva"/>
    </font>
    <font>
      <b/>
      <sz val="10"/>
      <name val="Geneva"/>
    </font>
    <font>
      <sz val="10"/>
      <name val="Geneva"/>
    </font>
    <font>
      <b/>
      <sz val="9"/>
      <name val="Geneva"/>
    </font>
    <font>
      <sz val="9"/>
      <name val="Helvetica"/>
    </font>
    <font>
      <i/>
      <sz val="9"/>
      <name val="Geneva"/>
    </font>
    <font>
      <b/>
      <i/>
      <sz val="9"/>
      <name val="Geneva"/>
    </font>
    <font>
      <sz val="9"/>
      <name val="Geneva"/>
    </font>
    <font>
      <b/>
      <sz val="10"/>
      <name val="Symbol"/>
    </font>
    <font>
      <b/>
      <sz val="9"/>
      <name val="Helvetica"/>
    </font>
    <font>
      <sz val="10"/>
      <name val="Times"/>
    </font>
    <font>
      <sz val="10"/>
      <name val="Monaco"/>
    </font>
    <font>
      <b/>
      <sz val="10"/>
      <name val="Times"/>
    </font>
    <font>
      <sz val="8"/>
      <name val="Helvetica"/>
    </font>
    <font>
      <sz val="12"/>
      <color theme="1"/>
      <name val="Calibri"/>
      <family val="2"/>
      <scheme val="minor"/>
    </font>
    <font>
      <sz val="10"/>
      <name val="Arial"/>
    </font>
    <font>
      <sz val="10"/>
      <name val="AvantGarde"/>
    </font>
    <font>
      <b/>
      <sz val="10"/>
      <name val="AvantGarde"/>
    </font>
    <font>
      <u/>
      <sz val="10"/>
      <color theme="10"/>
      <name val="Geneva"/>
    </font>
    <font>
      <u/>
      <sz val="10"/>
      <color theme="11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4" fillId="0" borderId="0"/>
    <xf numFmtId="43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43" fontId="0" fillId="0" borderId="0" xfId="2" applyFont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4" fontId="0" fillId="0" borderId="0" xfId="2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4" fontId="7" fillId="0" borderId="0" xfId="0" applyNumberFormat="1" applyFont="1"/>
    <xf numFmtId="4" fontId="0" fillId="0" borderId="0" xfId="0" applyNumberFormat="1"/>
    <xf numFmtId="0" fontId="8" fillId="0" borderId="0" xfId="0" applyFont="1"/>
    <xf numFmtId="43" fontId="8" fillId="0" borderId="0" xfId="2" applyFont="1"/>
    <xf numFmtId="43" fontId="4" fillId="0" borderId="0" xfId="2" applyFont="1"/>
    <xf numFmtId="0" fontId="7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2" fontId="4" fillId="0" borderId="0" xfId="0" applyNumberFormat="1" applyFont="1"/>
    <xf numFmtId="2" fontId="7" fillId="0" borderId="0" xfId="0" applyNumberFormat="1" applyFont="1"/>
    <xf numFmtId="164" fontId="4" fillId="0" borderId="0" xfId="0" applyNumberFormat="1" applyFont="1"/>
    <xf numFmtId="164" fontId="4" fillId="0" borderId="0" xfId="2" applyNumberFormat="1" applyFont="1"/>
    <xf numFmtId="164" fontId="1" fillId="0" borderId="0" xfId="0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right"/>
    </xf>
    <xf numFmtId="0" fontId="2" fillId="0" borderId="0" xfId="0" applyFont="1"/>
    <xf numFmtId="164" fontId="4" fillId="0" borderId="0" xfId="2" applyNumberFormat="1" applyFont="1" applyAlignment="1">
      <alignment horizontal="right"/>
    </xf>
    <xf numFmtId="43" fontId="9" fillId="0" borderId="0" xfId="2" applyFont="1"/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43" fontId="7" fillId="0" borderId="0" xfId="2" applyFont="1"/>
    <xf numFmtId="4" fontId="8" fillId="0" borderId="0" xfId="0" applyNumberFormat="1" applyFont="1"/>
    <xf numFmtId="4" fontId="8" fillId="0" borderId="0" xfId="2" applyNumberFormat="1" applyFont="1"/>
    <xf numFmtId="4" fontId="3" fillId="0" borderId="0" xfId="0" applyNumberFormat="1" applyFont="1"/>
    <xf numFmtId="4" fontId="0" fillId="0" borderId="0" xfId="0" applyNumberFormat="1" applyAlignment="1">
      <alignment horizontal="right"/>
    </xf>
    <xf numFmtId="4" fontId="7" fillId="0" borderId="0" xfId="0" applyNumberFormat="1" applyFont="1" applyAlignment="1">
      <alignment horizontal="right"/>
    </xf>
    <xf numFmtId="4" fontId="7" fillId="0" borderId="0" xfId="2" applyNumberFormat="1" applyFont="1"/>
    <xf numFmtId="4" fontId="3" fillId="0" borderId="0" xfId="2" applyNumberFormat="1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43" fontId="7" fillId="0" borderId="0" xfId="2" applyFont="1" applyAlignment="1">
      <alignment horizontal="right"/>
    </xf>
    <xf numFmtId="43" fontId="10" fillId="0" borderId="0" xfId="2" applyFont="1"/>
    <xf numFmtId="0" fontId="10" fillId="0" borderId="0" xfId="0" applyFont="1"/>
    <xf numFmtId="164" fontId="7" fillId="0" borderId="0" xfId="2" applyNumberFormat="1" applyFont="1"/>
    <xf numFmtId="164" fontId="10" fillId="0" borderId="0" xfId="0" applyNumberFormat="1" applyFont="1"/>
    <xf numFmtId="2" fontId="3" fillId="0" borderId="0" xfId="0" applyNumberFormat="1" applyFont="1"/>
    <xf numFmtId="2" fontId="10" fillId="0" borderId="0" xfId="0" applyNumberFormat="1" applyFont="1"/>
    <xf numFmtId="165" fontId="3" fillId="0" borderId="0" xfId="0" applyNumberFormat="1" applyFont="1"/>
    <xf numFmtId="165" fontId="10" fillId="0" borderId="0" xfId="0" applyNumberFormat="1" applyFont="1"/>
    <xf numFmtId="4" fontId="7" fillId="0" borderId="0" xfId="0" applyNumberFormat="1" applyFont="1"/>
    <xf numFmtId="4" fontId="3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4" fontId="7" fillId="0" borderId="0" xfId="2" applyNumberFormat="1" applyFont="1" applyAlignment="1">
      <alignment horizontal="right"/>
    </xf>
    <xf numFmtId="4" fontId="10" fillId="0" borderId="0" xfId="2" applyNumberFormat="1" applyFont="1"/>
    <xf numFmtId="4" fontId="10" fillId="0" borderId="0" xfId="0" applyNumberFormat="1" applyFont="1"/>
    <xf numFmtId="0" fontId="0" fillId="0" borderId="0" xfId="0" applyNumberFormat="1"/>
    <xf numFmtId="0" fontId="8" fillId="0" borderId="0" xfId="0" applyFont="1" applyAlignment="1">
      <alignment horizontal="left"/>
    </xf>
    <xf numFmtId="43" fontId="8" fillId="0" borderId="0" xfId="2" applyFont="1" applyAlignment="1">
      <alignment horizontal="left"/>
    </xf>
    <xf numFmtId="0" fontId="7" fillId="0" borderId="0" xfId="0" applyFont="1" applyAlignment="1">
      <alignment horizontal="left"/>
    </xf>
    <xf numFmtId="43" fontId="0" fillId="0" borderId="0" xfId="2" applyFont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/>
    </xf>
    <xf numFmtId="164" fontId="7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right"/>
    </xf>
    <xf numFmtId="2" fontId="8" fillId="0" borderId="0" xfId="0" applyNumberFormat="1" applyFont="1"/>
    <xf numFmtId="2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7" fillId="0" borderId="0" xfId="2" applyNumberFormat="1" applyFont="1" applyAlignment="1">
      <alignment horizontal="right"/>
    </xf>
    <xf numFmtId="1" fontId="7" fillId="0" borderId="0" xfId="2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/>
    <xf numFmtId="164" fontId="3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7" fontId="10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7" fillId="0" borderId="0" xfId="0" applyNumberFormat="1" applyFont="1"/>
    <xf numFmtId="0" fontId="3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0" xfId="0" applyNumberFormat="1" applyFont="1"/>
    <xf numFmtId="2" fontId="11" fillId="0" borderId="0" xfId="0" applyNumberFormat="1" applyFont="1" applyAlignment="1">
      <alignment horizontal="right"/>
    </xf>
    <xf numFmtId="2" fontId="11" fillId="0" borderId="0" xfId="0" applyNumberFormat="1" applyFont="1"/>
    <xf numFmtId="2" fontId="10" fillId="0" borderId="0" xfId="0" applyNumberFormat="1" applyFont="1" applyAlignment="1">
      <alignment horizontal="left"/>
    </xf>
    <xf numFmtId="0" fontId="4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1"/>
    <xf numFmtId="2" fontId="16" fillId="0" borderId="0" xfId="3" applyNumberFormat="1" applyFont="1" applyProtection="1">
      <protection locked="0"/>
    </xf>
    <xf numFmtId="2" fontId="16" fillId="0" borderId="0" xfId="3" applyNumberFormat="1" applyFont="1" applyAlignment="1" applyProtection="1">
      <alignment horizontal="right"/>
      <protection locked="0"/>
    </xf>
    <xf numFmtId="2" fontId="16" fillId="0" borderId="0" xfId="3" applyNumberFormat="1" applyFont="1" applyAlignment="1" applyProtection="1">
      <alignment horizontal="center"/>
      <protection locked="0"/>
    </xf>
    <xf numFmtId="164" fontId="16" fillId="0" borderId="0" xfId="3" applyNumberFormat="1" applyFont="1" applyAlignment="1" applyProtection="1">
      <alignment horizontal="right"/>
      <protection locked="0"/>
    </xf>
    <xf numFmtId="168" fontId="16" fillId="0" borderId="0" xfId="3" applyNumberFormat="1" applyFont="1" applyAlignment="1" applyProtection="1">
      <alignment horizontal="right"/>
      <protection locked="0"/>
    </xf>
    <xf numFmtId="168" fontId="16" fillId="0" borderId="0" xfId="3" applyNumberFormat="1" applyFont="1" applyProtection="1"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164" fontId="16" fillId="0" borderId="0" xfId="3" applyNumberFormat="1" applyFont="1" applyProtection="1">
      <protection locked="0"/>
    </xf>
    <xf numFmtId="164" fontId="16" fillId="0" borderId="0" xfId="3" applyNumberFormat="1" applyFont="1" applyAlignment="1" applyProtection="1">
      <alignment horizontal="center"/>
      <protection locked="0"/>
    </xf>
    <xf numFmtId="168" fontId="17" fillId="0" borderId="0" xfId="3" applyNumberFormat="1" applyFont="1" applyProtection="1">
      <protection locked="0"/>
    </xf>
    <xf numFmtId="168" fontId="17" fillId="0" borderId="0" xfId="3" applyNumberFormat="1" applyFont="1" applyAlignment="1" applyProtection="1">
      <alignment horizontal="right"/>
      <protection locked="0"/>
    </xf>
    <xf numFmtId="168" fontId="17" fillId="0" borderId="0" xfId="3" applyNumberFormat="1" applyFont="1" applyAlignment="1">
      <alignment horizontal="right"/>
    </xf>
    <xf numFmtId="168" fontId="17" fillId="0" borderId="0" xfId="3" applyNumberFormat="1" applyFont="1" applyAlignment="1" applyProtection="1">
      <alignment horizontal="center"/>
      <protection locked="0"/>
    </xf>
    <xf numFmtId="2" fontId="16" fillId="0" borderId="0" xfId="3" applyNumberFormat="1" applyFont="1" applyAlignment="1">
      <alignment horizontal="right"/>
    </xf>
    <xf numFmtId="1" fontId="16" fillId="0" borderId="0" xfId="3" applyNumberFormat="1" applyFont="1" applyAlignment="1" applyProtection="1">
      <alignment horizontal="center"/>
      <protection locked="0"/>
    </xf>
    <xf numFmtId="1" fontId="16" fillId="0" borderId="0" xfId="3" applyNumberFormat="1" applyFont="1" applyAlignment="1" applyProtection="1">
      <alignment horizontal="right"/>
      <protection locked="0"/>
    </xf>
    <xf numFmtId="1" fontId="16" fillId="0" borderId="0" xfId="3" applyNumberFormat="1" applyFont="1" applyAlignment="1">
      <alignment horizontal="center"/>
    </xf>
    <xf numFmtId="164" fontId="17" fillId="0" borderId="0" xfId="3" applyNumberFormat="1" applyFont="1" applyAlignment="1" applyProtection="1">
      <alignment horizontal="right"/>
      <protection locked="0"/>
    </xf>
    <xf numFmtId="164" fontId="17" fillId="0" borderId="0" xfId="3" applyNumberFormat="1" applyFont="1" applyAlignment="1">
      <alignment horizontal="right"/>
    </xf>
  </cellXfs>
  <cellStyles count="18">
    <cellStyle name="Comma" xfId="2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e 2" xfId="1" xr:uid="{00000000-0005-0000-0000-00000F000000}"/>
    <cellStyle name="Normale 3" xfId="3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195"/>
  <sheetViews>
    <sheetView workbookViewId="0">
      <selection activeCell="F12" sqref="F12"/>
    </sheetView>
  </sheetViews>
  <sheetFormatPr baseColWidth="10" defaultColWidth="7.7109375" defaultRowHeight="14"/>
  <cols>
    <col min="2" max="2" width="7.7109375" style="3"/>
  </cols>
  <sheetData>
    <row r="3" spans="1:15">
      <c r="A3" s="1" t="s">
        <v>0</v>
      </c>
      <c r="B3" s="2" t="s">
        <v>1</v>
      </c>
      <c r="C3" t="s">
        <v>2</v>
      </c>
      <c r="D3" t="s">
        <v>3</v>
      </c>
    </row>
    <row r="4" spans="1:15">
      <c r="A4" s="1" t="s">
        <v>4</v>
      </c>
      <c r="B4">
        <v>44</v>
      </c>
      <c r="C4">
        <v>29</v>
      </c>
      <c r="D4">
        <v>137</v>
      </c>
    </row>
    <row r="5" spans="1:15">
      <c r="A5" t="s">
        <v>5</v>
      </c>
      <c r="B5" s="9">
        <v>1.68</v>
      </c>
      <c r="C5">
        <v>7.0000000000000007E-2</v>
      </c>
      <c r="D5">
        <v>0.37</v>
      </c>
    </row>
    <row r="6" spans="1:15">
      <c r="A6" t="s">
        <v>6</v>
      </c>
      <c r="B6" s="9">
        <v>1</v>
      </c>
      <c r="C6">
        <v>0.09</v>
      </c>
      <c r="D6">
        <v>0.18</v>
      </c>
    </row>
    <row r="7" spans="1:15">
      <c r="A7" t="s">
        <v>7</v>
      </c>
      <c r="B7" s="9">
        <v>0.04</v>
      </c>
      <c r="C7">
        <v>0.06</v>
      </c>
      <c r="D7">
        <v>0.2</v>
      </c>
    </row>
    <row r="8" spans="1:15">
      <c r="A8" t="s">
        <v>8</v>
      </c>
      <c r="B8" s="9">
        <v>0</v>
      </c>
      <c r="C8">
        <v>0.04</v>
      </c>
      <c r="D8">
        <v>0</v>
      </c>
    </row>
    <row r="9" spans="1:15">
      <c r="A9" t="s">
        <v>9</v>
      </c>
      <c r="B9" s="9">
        <v>0</v>
      </c>
      <c r="C9">
        <v>0.01</v>
      </c>
      <c r="D9">
        <v>0</v>
      </c>
    </row>
    <row r="10" spans="1:15">
      <c r="A10" t="s">
        <v>10</v>
      </c>
      <c r="B10" s="9">
        <v>0.56000000000000005</v>
      </c>
      <c r="C10">
        <v>0.49</v>
      </c>
      <c r="D10">
        <v>0.79</v>
      </c>
    </row>
    <row r="11" spans="1:15">
      <c r="A11" t="s">
        <v>11</v>
      </c>
      <c r="B11" s="9">
        <v>0.24</v>
      </c>
      <c r="C11">
        <v>0.03</v>
      </c>
      <c r="D11">
        <v>0.06</v>
      </c>
    </row>
    <row r="12" spans="1:15">
      <c r="A12" t="s">
        <v>12</v>
      </c>
      <c r="B12" s="9">
        <v>9</v>
      </c>
      <c r="C12">
        <v>11.54</v>
      </c>
      <c r="D12">
        <v>7.25</v>
      </c>
    </row>
    <row r="13" spans="1:15">
      <c r="A13" t="s">
        <v>13</v>
      </c>
      <c r="B13" s="9">
        <v>66.27</v>
      </c>
      <c r="C13">
        <v>68.11</v>
      </c>
      <c r="D13">
        <v>47.26</v>
      </c>
    </row>
    <row r="14" spans="1:15">
      <c r="A14" t="s">
        <v>14</v>
      </c>
      <c r="B14" s="9">
        <v>21.01</v>
      </c>
      <c r="C14">
        <v>20.329999999999998</v>
      </c>
      <c r="D14">
        <v>39.409999999999997</v>
      </c>
    </row>
    <row r="15" spans="1:15">
      <c r="A15" t="s">
        <v>15</v>
      </c>
      <c r="B15" s="9">
        <v>0.2</v>
      </c>
      <c r="C15">
        <v>0</v>
      </c>
      <c r="D15">
        <v>0.23</v>
      </c>
    </row>
    <row r="16" spans="1:15">
      <c r="A16" s="1" t="s">
        <v>16</v>
      </c>
      <c r="B16" s="9">
        <f>SUM(B5:B15)</f>
        <v>100</v>
      </c>
      <c r="C16" s="9">
        <f>SUM(C5:C15)</f>
        <v>100.77</v>
      </c>
      <c r="D16" s="9">
        <f>SUM(D5:D15)</f>
        <v>95.75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1" t="s">
        <v>17</v>
      </c>
      <c r="C17" s="3"/>
      <c r="D17" s="3"/>
    </row>
    <row r="18" spans="1:15" s="5" customFormat="1">
      <c r="A18" s="5" t="s">
        <v>18</v>
      </c>
      <c r="B18" s="6">
        <f>B13/60.09*(8/((B6/56.08)+(B7/79.9*2)+(B10/71.85)+(B9/70.94)+(B8/152.02*3)+(B13/60.09*2)+(B14/101.94*3)+(B15/40.32)+(B11/74.71)+(B5/94.2)+(B12/61.982)))</f>
        <v>2.9196727049752078</v>
      </c>
      <c r="C18" s="6">
        <f>C13/60.09*(8/((C6/56.08)+(C7/79.9*2)+(C10/71.85)+(C9/70.94)+(C8/152.02*3)+(C13/60.09*2)+(C14/101.94*3)+(C15/40.32)+(C11/74.71)+(C5/94.2)+(C12/61.982)))</f>
        <v>2.9600118590156526</v>
      </c>
      <c r="D18" s="6">
        <f>D13/60.09*(8/((D6/56.08)+(D7/79.9*2)+(D10/71.85)+(D9/70.94)+(D8/152.02*3)+(D13/60.09*2)+(D14/101.94*3)+(D15/40.32)+(D11/74.71)+(D5/94.2)+(D12/61.982)))</f>
        <v>2.1851490884569165</v>
      </c>
    </row>
    <row r="19" spans="1:15" s="5" customFormat="1">
      <c r="A19" s="5" t="s">
        <v>19</v>
      </c>
      <c r="B19" s="6">
        <f>(B14/101.94*(8/((B6/56.08)+(B7/79.9*2)+(B10/71.85)+(B9/70.94)+(B8/152.02*3)+(B13/60.09*2)+(B14/101.94*3)+(B15/40.32)+(B11/74.71)+(B5/94.2)+(B12/61.982)))*2)</f>
        <v>1.091266496812475</v>
      </c>
      <c r="C19" s="6">
        <f>(C14/101.94*(8/((C6/56.08)+(C7/79.9*2)+(C10/71.85)+(C9/70.94)+(C8/152.02*3)+(C13/60.09*2)+(C14/101.94*3)+(C15/40.32)+(C11/74.71)+(C5/94.2)+(C12/61.982)))*2)</f>
        <v>1.0416157060516031</v>
      </c>
      <c r="D19" s="6">
        <f>(D14/101.94*(8/((D6/56.08)+(D7/79.9*2)+(D10/71.85)+(D9/70.94)+(D8/152.02*3)+(D13/60.09*2)+(D14/101.94*3)+(D15/40.32)+(D11/74.71)+(D5/94.2)+(D12/61.982)))*2)</f>
        <v>2.1482328895878164</v>
      </c>
    </row>
    <row r="20" spans="1:15" s="5" customFormat="1">
      <c r="A20" s="5" t="s">
        <v>20</v>
      </c>
      <c r="B20" s="6">
        <f>B7/79.9*(8/((B6/56.08)+(B7/79.9*2)+(B10/71.85)+(B9/70.94)+(B8/152.02*3)+(B13/60.09*2)+(B14/101.94*3)+(B15/40.32)+(B11/74.71)+(B5/94.2)+(B12/61.982)))</f>
        <v>1.3253562036441755E-3</v>
      </c>
      <c r="C20" s="6">
        <f>C7/79.9*(8/((C6/56.08)+(C7/79.9*2)+(C10/71.85)+(C9/70.94)+(C8/152.02*3)+(C13/60.09*2)+(C14/101.94*3)+(C15/40.32)+(C11/74.71)+(C5/94.2)+(C12/61.982)))</f>
        <v>1.9610526144935303E-3</v>
      </c>
      <c r="D20" s="6">
        <f>D7/79.9*(8/((D6/56.08)+(D7/79.9*2)+(D10/71.85)+(D9/70.94)+(D8/152.02*3)+(D13/60.09*2)+(D14/101.94*3)+(D15/40.32)+(D11/74.71)+(D5/94.2)+(D12/61.982)))</f>
        <v>6.9546099321875646E-3</v>
      </c>
    </row>
    <row r="21" spans="1:15" s="5" customFormat="1">
      <c r="A21" s="5" t="s">
        <v>21</v>
      </c>
      <c r="B21" s="6">
        <f>B8/152.02*(8/((B6/56.08)+(B7/79.9*2)+(B10/71.85)+(B9/70.94)+(B8/152.02*3)+(B13/60.09*2)+(B14/101.94*3)+(B15/40.32)+(B11/74.71)+(B5/94.2)+(B12/61.982)))*2</f>
        <v>0</v>
      </c>
      <c r="C21" s="6">
        <f>C8/152.02*(8/((C6/56.08)+(C7/79.9*2)+(C10/71.85)+(C9/70.94)+(C8/152.02*3)+(C13/60.09*2)+(C14/101.94*3)+(C15/40.32)+(C11/74.71)+(C5/94.2)+(C12/61.982)))*2</f>
        <v>1.3742762259179326E-3</v>
      </c>
      <c r="D21" s="6">
        <f>D8/152.02*(8/((D6/56.08)+(D7/79.9*2)+(D10/71.85)+(D9/70.94)+(D8/152.02*3)+(D13/60.09*2)+(D14/101.94*3)+(D15/40.32)+(D11/74.71)+(D5/94.2)+(D12/61.982)))*2</f>
        <v>0</v>
      </c>
    </row>
    <row r="22" spans="1:15" s="5" customFormat="1">
      <c r="A22" s="5" t="s">
        <v>22</v>
      </c>
      <c r="B22" s="6">
        <f>B10/71.85*(8/((B6/56.08)+(B7/79.9*2)+(B10/71.85)+(B9/70.94)+(B8/152.02*3)+(B13/60.09*2)+(B14/101.94*3)+(B15/40.32)+(B11/74.71)+(B5/94.2)+(B12/61.982)))</f>
        <v>2.0633868467590466E-2</v>
      </c>
      <c r="C22" s="6">
        <f>C10/71.85*(8/((C6/56.08)+(C7/79.9*2)+(C10/71.85)+(C9/70.94)+(C8/152.02*3)+(C13/60.09*2)+(C14/101.94*3)+(C15/40.32)+(C11/74.71)+(C5/94.2)+(C12/61.982)))</f>
        <v>1.7809596592446353E-2</v>
      </c>
      <c r="D22" s="6">
        <f>D10/71.85*(8/((D6/56.08)+(D7/79.9*2)+(D10/71.85)+(D9/70.94)+(D8/152.02*3)+(D13/60.09*2)+(D14/101.94*3)+(D15/40.32)+(D11/74.71)+(D5/94.2)+(D12/61.982)))</f>
        <v>3.0548499201782275E-2</v>
      </c>
    </row>
    <row r="23" spans="1:15" s="5" customFormat="1">
      <c r="A23" s="5" t="s">
        <v>23</v>
      </c>
      <c r="B23" s="6">
        <f>B9/70.94*(8/((B6/56.08)+(B7/79.9*2)+(B10/71.85)+(B9/70.94)+(B8/152.02*3)+(B13/60.09*2)+(B14/101.94*3)+(B15/40.32)+(B11/74.71)+(B5/94.2)+(B12/61.982)))</f>
        <v>0</v>
      </c>
      <c r="C23" s="6">
        <f>C9/70.94*(8/((C6/56.08)+(C7/79.9*2)+(C10/71.85)+(C9/70.94)+(C8/152.02*3)+(C13/60.09*2)+(C14/101.94*3)+(C15/40.32)+(C11/74.71)+(C5/94.2)+(C12/61.982)))</f>
        <v>3.681235407810194E-4</v>
      </c>
      <c r="D23" s="6">
        <f>D9/70.94*(8/((D6/56.08)+(D7/79.9*2)+(D10/71.85)+(D9/70.94)+(D8/152.02*3)+(D13/60.09*2)+(D14/101.94*3)+(D15/40.32)+(D11/74.71)+(D5/94.2)+(D12/61.982)))</f>
        <v>0</v>
      </c>
    </row>
    <row r="24" spans="1:15" s="5" customFormat="1">
      <c r="A24" s="5" t="s">
        <v>24</v>
      </c>
      <c r="B24" s="6">
        <f>B15/40.32*(8/((B6/56.08)+(B7/79.9*2)+(B10/71.85)+(B9/70.94)+(B8/152.02*3)+(B13/60.09*2)+(B14/101.94*3)+(B15/40.32)+(B11/74.71)+(B5/94.2)+(B12/61.982)))</f>
        <v>1.3131939567357346E-2</v>
      </c>
      <c r="C24" s="6">
        <f>C15/40.32*(8/((C6/56.08)+(C7/79.9*2)+(C10/71.85)+(C9/70.94)+(C8/152.02*3)+(C13/60.09*2)+(C14/101.94*3)+(C15/40.32)+(C11/74.71)+(C5/94.2)+(C12/61.982)))</f>
        <v>0</v>
      </c>
      <c r="D24" s="6">
        <f>D15/40.32*(8/((D6/56.08)+(D7/79.9*2)+(D10/71.85)+(D9/70.94)+(D8/152.02*3)+(D13/60.09*2)+(D14/101.94*3)+(D15/40.32)+(D11/74.71)+(D5/94.2)+(D12/61.982)))</f>
        <v>1.5848817798091625E-2</v>
      </c>
    </row>
    <row r="25" spans="1:15" s="5" customFormat="1">
      <c r="A25" s="5" t="s">
        <v>25</v>
      </c>
      <c r="B25" s="6">
        <f>B11/74.71*(8/((B6/56.08)+(B7/79.9*2)+(B10/71.85)+(B9/70.94)+(B8/152.02*3)+(B13/60.09*2)+(B14/101.94*3)+(B15/40.32)+(B11/74.71)+(B5/94.2)+(B12/61.982)))</f>
        <v>8.5045611568333249E-3</v>
      </c>
      <c r="C25" s="6">
        <f>C11/74.71*(8/((C6/56.08)+(C7/79.9*2)+(C10/71.85)+(C9/70.94)+(C8/152.02*3)+(C13/60.09*2)+(C14/101.94*3)+(C15/40.32)+(C11/74.71)+(C5/94.2)+(C12/61.982)))</f>
        <v>1.0486421088076101E-3</v>
      </c>
      <c r="D25" s="6">
        <f>D11/74.71*(8/((D6/56.08)+(D7/79.9*2)+(D10/71.85)+(D9/70.94)+(D8/152.02*3)+(D13/60.09*2)+(D14/101.94*3)+(D15/40.32)+(D11/74.71)+(D5/94.2)+(D12/61.982)))</f>
        <v>2.2313211092830397E-3</v>
      </c>
    </row>
    <row r="26" spans="1:15" s="5" customFormat="1">
      <c r="A26" s="5" t="s">
        <v>26</v>
      </c>
      <c r="B26" s="6">
        <f>B6/56.08*(8/((B6/56.08)+(B7/79.9*2)+(B10/71.85)+(B9/70.94)+(B8/152.02*3)+(B13/60.09*2)+(B14/101.94*3)+(B15/40.32)+(B11/74.71)+(B5/94.2)+(B12/61.982)))</f>
        <v>4.7207543095207576E-2</v>
      </c>
      <c r="C26" s="6">
        <f>C6/56.08*(8/((C6/56.08)+(C7/79.9*2)+(C10/71.85)+(C9/70.94)+(C8/152.02*3)+(C13/60.09*2)+(C14/101.94*3)+(C15/40.32)+(C11/74.71)+(C5/94.2)+(C12/61.982)))</f>
        <v>4.1910156178147223E-3</v>
      </c>
      <c r="D26" s="6">
        <f>D6/56.08*(8/((D6/56.08)+(D7/79.9*2)+(D10/71.85)+(D9/70.94)+(D8/152.02*3)+(D13/60.09*2)+(D14/101.94*3)+(D15/40.32)+(D11/74.71)+(D5/94.2)+(D12/61.982)))</f>
        <v>8.9177246830172557E-3</v>
      </c>
    </row>
    <row r="27" spans="1:15" s="5" customFormat="1">
      <c r="A27" s="5" t="s">
        <v>27</v>
      </c>
      <c r="B27" s="6">
        <f>B12/61.982*(8/((B6/56.08)+(B7/79.9*2)+(B10/71.85)+(B9/70.94)+(B8/152.02*3)+(B13/60.09*2)+(B14/101.94*3)+(B15/40.32)+(B11/74.71)+(B5/94.2)+(B12/61.982)))*2</f>
        <v>0.76882292120335471</v>
      </c>
      <c r="C27" s="6">
        <f>C12/61.982*(8/((C6/56.08)+(C7/79.9*2)+(C10/71.85)+(C9/70.94)+(C8/152.02*3)+(C13/60.09*2)+(C14/101.94*3)+(C15/40.32)+(C11/74.71)+(C5/94.2)+(C12/61.982)))*2</f>
        <v>0.97242248770250606</v>
      </c>
      <c r="D27" s="6">
        <f>D12/61.982*(8/((D6/56.08)+(D7/79.9*2)+(D10/71.85)+(D9/70.94)+(D8/152.02*3)+(D13/60.09*2)+(D14/101.94*3)+(D15/40.32)+(D11/74.71)+(D5/94.2)+(D12/61.982)))*2</f>
        <v>0.64996800175340441</v>
      </c>
    </row>
    <row r="28" spans="1:15" s="5" customFormat="1">
      <c r="A28" s="5" t="s">
        <v>28</v>
      </c>
      <c r="B28" s="6">
        <f>B5/94.2*(8/((B6/56.08)+(B7/79.9*2)+(B10/71.85)+(B9/70.94)+(B8/152.02*3)+(B13/60.09*2)+(B14/101.94*3)+(B15/40.32)+(B11/74.71)+(B5/94.2)+(B12/61.982)))*2</f>
        <v>9.4429519069832782E-2</v>
      </c>
      <c r="C28" s="6">
        <f>C5/94.2*(8/((C6/56.08)+(C7/79.9*2)+(C10/71.85)+(C9/70.94)+(C8/152.02*3)+(C13/60.09*2)+(C14/101.94*3)+(C15/40.32)+(C11/74.71)+(C5/94.2)+(C12/61.982)))*2</f>
        <v>3.8811632246505013E-3</v>
      </c>
      <c r="D28" s="6">
        <f>D5/94.2*(8/((D6/56.08)+(D7/79.9*2)+(D10/71.85)+(D9/70.94)+(D8/152.02*3)+(D13/60.09*2)+(D14/101.94*3)+(D15/40.32)+(D11/74.71)+(D5/94.2)+(D12/61.982)))*2</f>
        <v>2.1825810342384389E-2</v>
      </c>
    </row>
    <row r="29" spans="1:15" s="5" customFormat="1">
      <c r="B29" s="6"/>
      <c r="C29" s="6"/>
      <c r="D29" s="6"/>
    </row>
    <row r="30" spans="1:15" s="5" customFormat="1">
      <c r="A30" s="5" t="s">
        <v>29</v>
      </c>
      <c r="B30" s="6">
        <f>B26/(B26+B27)</f>
        <v>5.7850221481358419E-2</v>
      </c>
      <c r="C30" s="6">
        <f>C26/(C26+C27)</f>
        <v>4.2913758652383749E-3</v>
      </c>
      <c r="D30" s="6">
        <f>D26/(D26+D27)</f>
        <v>1.3534554362330326E-2</v>
      </c>
    </row>
    <row r="32" spans="1:1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3:1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3:1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3:1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3:1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3:1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3:1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3:1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3:1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3:1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3:1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3:1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164" spans="3:27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3:27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3:27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3:27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3:27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3:27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3:27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3:27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3:27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3:27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5" spans="3:27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3:27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8" spans="3:27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3:27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3:27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3:27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3:27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3:27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3:27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3:27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3:27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3:2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3:27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3:27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3:27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3:27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3:27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3:27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3:27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3:27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40"/>
  <sheetViews>
    <sheetView workbookViewId="0">
      <selection activeCell="K24" sqref="K24"/>
    </sheetView>
  </sheetViews>
  <sheetFormatPr baseColWidth="10" defaultColWidth="7.7109375" defaultRowHeight="13"/>
  <cols>
    <col min="1" max="3" width="7.7109375" style="22"/>
    <col min="4" max="14" width="7.7109375" style="36"/>
    <col min="15" max="15" width="7.7109375" style="22"/>
    <col min="16" max="37" width="7.7109375" style="36"/>
    <col min="38" max="50" width="7.7109375" style="22"/>
    <col min="51" max="56" width="7.7109375" style="36"/>
    <col min="57" max="16384" width="7.7109375" style="22"/>
  </cols>
  <sheetData>
    <row r="1" spans="1:88">
      <c r="C1" s="22" t="s">
        <v>64</v>
      </c>
      <c r="L1" s="36" t="s">
        <v>65</v>
      </c>
      <c r="U1" s="36" t="s">
        <v>67</v>
      </c>
      <c r="AI1" s="36" t="s">
        <v>68</v>
      </c>
      <c r="AM1" s="22" t="s">
        <v>66</v>
      </c>
      <c r="AY1" s="36" t="s">
        <v>69</v>
      </c>
      <c r="BC1" s="36" t="s">
        <v>70</v>
      </c>
    </row>
    <row r="3" spans="1:88" s="20" customFormat="1">
      <c r="A3" s="64" t="s">
        <v>0</v>
      </c>
      <c r="B3" s="20" t="s">
        <v>241</v>
      </c>
      <c r="C3" s="20" t="s">
        <v>71</v>
      </c>
      <c r="D3" s="20" t="s">
        <v>71</v>
      </c>
      <c r="E3" s="20" t="s">
        <v>71</v>
      </c>
      <c r="F3" s="20" t="s">
        <v>71</v>
      </c>
      <c r="G3" s="20">
        <v>430</v>
      </c>
      <c r="H3" s="20">
        <v>430</v>
      </c>
      <c r="I3" s="20">
        <v>430</v>
      </c>
      <c r="J3" s="20">
        <v>430</v>
      </c>
      <c r="K3" s="20">
        <v>430</v>
      </c>
      <c r="L3" s="20" t="s">
        <v>72</v>
      </c>
      <c r="M3" s="20" t="s">
        <v>72</v>
      </c>
      <c r="N3" s="20" t="s">
        <v>72</v>
      </c>
      <c r="O3" s="20" t="s">
        <v>72</v>
      </c>
      <c r="P3" s="20" t="s">
        <v>72</v>
      </c>
      <c r="Q3" s="20" t="s">
        <v>72</v>
      </c>
      <c r="R3" s="20" t="s">
        <v>72</v>
      </c>
      <c r="S3" s="20" t="s">
        <v>72</v>
      </c>
      <c r="T3" s="20" t="s">
        <v>72</v>
      </c>
      <c r="U3" s="20" t="s">
        <v>74</v>
      </c>
      <c r="V3" s="20" t="s">
        <v>74</v>
      </c>
      <c r="W3" s="20" t="s">
        <v>74</v>
      </c>
      <c r="X3" s="20" t="s">
        <v>74</v>
      </c>
      <c r="Y3" s="20" t="s">
        <v>74</v>
      </c>
      <c r="Z3" s="20" t="s">
        <v>2</v>
      </c>
      <c r="AA3" s="20" t="s">
        <v>2</v>
      </c>
      <c r="AB3" s="20" t="s">
        <v>2</v>
      </c>
      <c r="AC3" s="20" t="s">
        <v>2</v>
      </c>
      <c r="AD3" s="20" t="s">
        <v>2</v>
      </c>
      <c r="AE3" s="20" t="s">
        <v>2</v>
      </c>
      <c r="AF3" s="20" t="s">
        <v>2</v>
      </c>
      <c r="AG3" s="20" t="s">
        <v>2</v>
      </c>
      <c r="AH3" s="20" t="s">
        <v>2</v>
      </c>
      <c r="AI3" s="20" t="s">
        <v>75</v>
      </c>
      <c r="AJ3" s="20" t="s">
        <v>75</v>
      </c>
      <c r="AK3" s="20" t="s">
        <v>75</v>
      </c>
      <c r="AL3" s="20" t="s">
        <v>75</v>
      </c>
      <c r="AM3" s="20" t="s">
        <v>75</v>
      </c>
      <c r="AN3" s="20" t="s">
        <v>75</v>
      </c>
      <c r="AO3" s="20" t="s">
        <v>75</v>
      </c>
      <c r="AP3" s="20" t="s">
        <v>75</v>
      </c>
      <c r="AQ3" s="20" t="s">
        <v>75</v>
      </c>
      <c r="AR3" s="20" t="s">
        <v>75</v>
      </c>
      <c r="AS3" s="20" t="s">
        <v>75</v>
      </c>
      <c r="AT3" s="20" t="s">
        <v>75</v>
      </c>
      <c r="AU3" s="20" t="s">
        <v>75</v>
      </c>
      <c r="AV3" s="20" t="s">
        <v>75</v>
      </c>
      <c r="AW3" s="20" t="s">
        <v>75</v>
      </c>
      <c r="AX3" s="20" t="s">
        <v>75</v>
      </c>
      <c r="AY3" s="20">
        <v>93.1</v>
      </c>
      <c r="AZ3" s="20">
        <v>93.1</v>
      </c>
      <c r="BA3" s="20">
        <v>93.1</v>
      </c>
      <c r="BB3" s="20">
        <v>93.1</v>
      </c>
      <c r="BC3" s="20" t="s">
        <v>30</v>
      </c>
      <c r="BD3" s="20" t="s">
        <v>30</v>
      </c>
      <c r="BE3" s="20" t="s">
        <v>30</v>
      </c>
      <c r="BF3" s="20" t="s">
        <v>30</v>
      </c>
      <c r="BG3" s="20" t="s">
        <v>30</v>
      </c>
      <c r="BH3" s="20" t="s">
        <v>30</v>
      </c>
      <c r="BI3" s="20" t="s">
        <v>30</v>
      </c>
      <c r="BJ3" s="20" t="s">
        <v>30</v>
      </c>
      <c r="BK3" s="20" t="s">
        <v>76</v>
      </c>
      <c r="BL3" s="20" t="s">
        <v>76</v>
      </c>
      <c r="BM3" s="20" t="s">
        <v>76</v>
      </c>
      <c r="BN3" s="20" t="s">
        <v>76</v>
      </c>
    </row>
    <row r="4" spans="1:88" s="20" customFormat="1">
      <c r="A4" s="64" t="s">
        <v>4</v>
      </c>
      <c r="B4" s="20">
        <v>17</v>
      </c>
      <c r="C4" s="20" t="s">
        <v>242</v>
      </c>
      <c r="D4" s="20" t="s">
        <v>243</v>
      </c>
      <c r="E4" s="20" t="s">
        <v>244</v>
      </c>
      <c r="F4" s="20" t="s">
        <v>245</v>
      </c>
      <c r="G4" s="20" t="s">
        <v>246</v>
      </c>
      <c r="H4" s="20" t="s">
        <v>247</v>
      </c>
      <c r="I4" s="20" t="s">
        <v>248</v>
      </c>
      <c r="J4" s="20" t="s">
        <v>249</v>
      </c>
      <c r="K4" s="20" t="s">
        <v>250</v>
      </c>
      <c r="L4" s="20" t="s">
        <v>251</v>
      </c>
      <c r="M4" s="20" t="s">
        <v>252</v>
      </c>
      <c r="N4" s="20" t="s">
        <v>253</v>
      </c>
      <c r="O4" s="20" t="s">
        <v>254</v>
      </c>
      <c r="P4" s="20" t="s">
        <v>255</v>
      </c>
      <c r="Q4" s="20" t="s">
        <v>256</v>
      </c>
      <c r="R4" s="20" t="s">
        <v>257</v>
      </c>
      <c r="S4" s="20" t="s">
        <v>258</v>
      </c>
      <c r="T4" s="20" t="s">
        <v>259</v>
      </c>
      <c r="U4" s="20">
        <v>23</v>
      </c>
      <c r="V4" s="20">
        <v>24</v>
      </c>
      <c r="W4" s="20" t="s">
        <v>260</v>
      </c>
      <c r="X4" s="20" t="s">
        <v>261</v>
      </c>
      <c r="Y4" s="20" t="s">
        <v>262</v>
      </c>
      <c r="Z4" s="20" t="s">
        <v>263</v>
      </c>
      <c r="AA4" s="20" t="s">
        <v>264</v>
      </c>
      <c r="AB4" s="20" t="s">
        <v>265</v>
      </c>
      <c r="AC4" s="20" t="s">
        <v>266</v>
      </c>
      <c r="AD4" s="20" t="s">
        <v>267</v>
      </c>
      <c r="AE4" s="20" t="s">
        <v>268</v>
      </c>
      <c r="AF4" s="20" t="s">
        <v>269</v>
      </c>
      <c r="AG4" s="20" t="s">
        <v>270</v>
      </c>
      <c r="AH4" s="20" t="s">
        <v>271</v>
      </c>
      <c r="AI4" s="20" t="s">
        <v>272</v>
      </c>
      <c r="AJ4" s="20" t="s">
        <v>273</v>
      </c>
      <c r="AK4" s="20" t="s">
        <v>274</v>
      </c>
      <c r="AL4" s="20" t="s">
        <v>275</v>
      </c>
      <c r="AM4" s="20" t="s">
        <v>276</v>
      </c>
      <c r="AN4" s="20" t="s">
        <v>277</v>
      </c>
      <c r="AO4" s="20" t="s">
        <v>278</v>
      </c>
      <c r="AP4" s="20" t="s">
        <v>279</v>
      </c>
      <c r="AQ4" s="20" t="s">
        <v>280</v>
      </c>
      <c r="AR4" s="20" t="s">
        <v>254</v>
      </c>
      <c r="AS4" s="20" t="s">
        <v>281</v>
      </c>
      <c r="AT4" s="20" t="s">
        <v>282</v>
      </c>
      <c r="AU4" s="20" t="s">
        <v>283</v>
      </c>
      <c r="AV4" s="20" t="s">
        <v>284</v>
      </c>
      <c r="AW4" s="20" t="s">
        <v>254</v>
      </c>
      <c r="AX4" s="20" t="s">
        <v>285</v>
      </c>
      <c r="AY4" s="20" t="s">
        <v>286</v>
      </c>
      <c r="AZ4" s="20" t="s">
        <v>287</v>
      </c>
      <c r="BA4" s="20" t="s">
        <v>288</v>
      </c>
      <c r="BB4" s="20" t="s">
        <v>289</v>
      </c>
      <c r="BC4" s="20" t="s">
        <v>290</v>
      </c>
      <c r="BD4" s="20" t="s">
        <v>291</v>
      </c>
      <c r="BE4" s="20" t="s">
        <v>292</v>
      </c>
      <c r="BF4" s="20" t="s">
        <v>232</v>
      </c>
      <c r="BG4" s="20" t="s">
        <v>293</v>
      </c>
      <c r="BH4" s="20" t="s">
        <v>294</v>
      </c>
      <c r="BI4" s="20" t="s">
        <v>295</v>
      </c>
      <c r="BJ4" s="20" t="s">
        <v>296</v>
      </c>
      <c r="BK4" s="20" t="s">
        <v>297</v>
      </c>
      <c r="BL4" s="20" t="s">
        <v>298</v>
      </c>
      <c r="BM4" s="20" t="s">
        <v>299</v>
      </c>
      <c r="BN4" s="20" t="s">
        <v>300</v>
      </c>
    </row>
    <row r="5" spans="1:88">
      <c r="A5" s="22" t="s">
        <v>5</v>
      </c>
      <c r="B5" s="24">
        <v>1.2E-2</v>
      </c>
      <c r="C5" s="22">
        <v>0.03</v>
      </c>
      <c r="D5" s="22">
        <v>0</v>
      </c>
      <c r="E5" s="22">
        <v>0.03</v>
      </c>
      <c r="F5" s="22">
        <v>0</v>
      </c>
      <c r="G5" s="20">
        <v>0</v>
      </c>
      <c r="H5" s="20">
        <v>0.03</v>
      </c>
      <c r="I5" s="20">
        <v>0.01</v>
      </c>
      <c r="J5" s="20">
        <v>0</v>
      </c>
      <c r="K5" s="20">
        <v>0.04</v>
      </c>
      <c r="L5" s="22">
        <v>0</v>
      </c>
      <c r="M5" s="22">
        <v>0.05</v>
      </c>
      <c r="N5" s="22">
        <v>0.03</v>
      </c>
      <c r="O5" s="22">
        <v>0</v>
      </c>
      <c r="P5" s="22">
        <v>0.03</v>
      </c>
      <c r="Q5" s="22">
        <v>0</v>
      </c>
      <c r="R5" s="22">
        <v>0.03</v>
      </c>
      <c r="S5" s="22">
        <v>0</v>
      </c>
      <c r="T5" s="22">
        <v>0.01</v>
      </c>
      <c r="U5" s="20">
        <v>0</v>
      </c>
      <c r="V5" s="20">
        <v>0</v>
      </c>
      <c r="W5" s="20">
        <v>0</v>
      </c>
      <c r="X5" s="20">
        <v>0</v>
      </c>
      <c r="Y5" s="20">
        <v>0.02</v>
      </c>
      <c r="Z5" s="24">
        <v>0</v>
      </c>
      <c r="AA5" s="24">
        <v>0.04</v>
      </c>
      <c r="AB5" s="24">
        <v>0</v>
      </c>
      <c r="AC5" s="24">
        <v>0</v>
      </c>
      <c r="AD5" s="24">
        <v>0</v>
      </c>
      <c r="AE5" s="24">
        <v>0.02</v>
      </c>
      <c r="AF5" s="24">
        <v>0.02</v>
      </c>
      <c r="AG5" s="24">
        <v>0</v>
      </c>
      <c r="AH5" s="24">
        <v>0</v>
      </c>
      <c r="AI5" s="68">
        <v>0.06</v>
      </c>
      <c r="AJ5" s="68">
        <v>0</v>
      </c>
      <c r="AK5" s="68">
        <v>0.02</v>
      </c>
      <c r="AL5" s="68">
        <v>0</v>
      </c>
      <c r="AM5" s="68">
        <v>0.01</v>
      </c>
      <c r="AN5" s="24">
        <v>0</v>
      </c>
      <c r="AO5" s="24">
        <v>0.01</v>
      </c>
      <c r="AP5" s="24">
        <v>0</v>
      </c>
      <c r="AQ5" s="24">
        <v>0</v>
      </c>
      <c r="AR5" s="24">
        <v>0</v>
      </c>
      <c r="AS5" s="24">
        <v>0</v>
      </c>
      <c r="AT5" s="24">
        <v>0.06</v>
      </c>
      <c r="AU5" s="24">
        <v>0.02</v>
      </c>
      <c r="AV5" s="24">
        <v>0.06</v>
      </c>
      <c r="AW5" s="24">
        <v>0</v>
      </c>
      <c r="AX5" s="24">
        <v>0.01</v>
      </c>
      <c r="AY5" s="22">
        <v>0.01</v>
      </c>
      <c r="AZ5" s="22">
        <v>0</v>
      </c>
      <c r="BA5" s="22">
        <v>0</v>
      </c>
      <c r="BB5" s="22">
        <v>0</v>
      </c>
      <c r="BC5" s="20">
        <v>0.01</v>
      </c>
      <c r="BD5" s="20">
        <v>0</v>
      </c>
      <c r="BE5" s="20">
        <v>0.01</v>
      </c>
      <c r="BF5" s="20">
        <v>0</v>
      </c>
      <c r="BG5" s="20">
        <v>0</v>
      </c>
      <c r="BH5" s="20">
        <v>0.04</v>
      </c>
      <c r="BI5" s="20">
        <v>0</v>
      </c>
      <c r="BJ5" s="20">
        <v>0.01</v>
      </c>
      <c r="BK5" s="20">
        <v>0.01</v>
      </c>
      <c r="BL5" s="20">
        <v>0</v>
      </c>
      <c r="BM5" s="20">
        <v>0.01</v>
      </c>
      <c r="BN5" s="20">
        <v>0</v>
      </c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</row>
    <row r="6" spans="1:88">
      <c r="A6" s="22" t="s">
        <v>6</v>
      </c>
      <c r="B6" s="24">
        <v>1.264</v>
      </c>
      <c r="C6" s="22">
        <v>7.42</v>
      </c>
      <c r="D6" s="22">
        <v>9.3800000000000008</v>
      </c>
      <c r="E6" s="22">
        <v>12.11</v>
      </c>
      <c r="F6" s="22">
        <v>11.88</v>
      </c>
      <c r="G6" s="20">
        <v>8.5399999999999991</v>
      </c>
      <c r="H6" s="20">
        <v>9.76</v>
      </c>
      <c r="I6" s="20">
        <v>7.83</v>
      </c>
      <c r="J6" s="20">
        <v>10.23</v>
      </c>
      <c r="K6" s="20">
        <v>9.83</v>
      </c>
      <c r="L6" s="22">
        <v>6.96</v>
      </c>
      <c r="M6" s="22">
        <v>7.16</v>
      </c>
      <c r="N6" s="22">
        <v>8.34</v>
      </c>
      <c r="O6" s="22">
        <v>10.7</v>
      </c>
      <c r="P6" s="22">
        <v>7.24</v>
      </c>
      <c r="Q6" s="22">
        <v>8.17</v>
      </c>
      <c r="R6" s="22">
        <v>6.88</v>
      </c>
      <c r="S6" s="22">
        <v>7.95</v>
      </c>
      <c r="T6" s="22">
        <v>10.6</v>
      </c>
      <c r="U6" s="20">
        <v>5.95</v>
      </c>
      <c r="V6" s="20">
        <v>4.7300000000000004</v>
      </c>
      <c r="W6" s="20">
        <v>5.99</v>
      </c>
      <c r="X6" s="20">
        <v>6.53</v>
      </c>
      <c r="Y6" s="20">
        <v>7.56</v>
      </c>
      <c r="Z6" s="24">
        <v>9.59</v>
      </c>
      <c r="AA6" s="24">
        <v>11.21</v>
      </c>
      <c r="AB6" s="24">
        <v>11.68</v>
      </c>
      <c r="AC6" s="24">
        <v>10.3</v>
      </c>
      <c r="AD6" s="24">
        <v>10.85</v>
      </c>
      <c r="AE6" s="24">
        <v>12.01</v>
      </c>
      <c r="AF6" s="24">
        <v>10.59</v>
      </c>
      <c r="AG6" s="24">
        <v>10.3</v>
      </c>
      <c r="AH6" s="24">
        <v>12.29</v>
      </c>
      <c r="AI6" s="68">
        <v>7.59</v>
      </c>
      <c r="AJ6" s="68">
        <v>7.12</v>
      </c>
      <c r="AK6" s="68">
        <v>11.06</v>
      </c>
      <c r="AL6" s="68">
        <v>10.69</v>
      </c>
      <c r="AM6" s="68">
        <v>7.93</v>
      </c>
      <c r="AN6" s="24">
        <v>10.85</v>
      </c>
      <c r="AO6" s="24">
        <v>11.32</v>
      </c>
      <c r="AP6" s="24">
        <v>6.34</v>
      </c>
      <c r="AQ6" s="24">
        <v>11.15</v>
      </c>
      <c r="AR6" s="24">
        <v>11.67</v>
      </c>
      <c r="AS6" s="24">
        <v>8.2100000000000009</v>
      </c>
      <c r="AT6" s="24">
        <v>11.71</v>
      </c>
      <c r="AU6" s="24">
        <v>10.66</v>
      </c>
      <c r="AV6" s="24">
        <v>12.01</v>
      </c>
      <c r="AW6" s="24">
        <v>11.67</v>
      </c>
      <c r="AX6" s="24">
        <v>8.98</v>
      </c>
      <c r="AY6" s="22">
        <v>6.19</v>
      </c>
      <c r="AZ6" s="22">
        <v>7.49</v>
      </c>
      <c r="BA6" s="22">
        <v>6.72</v>
      </c>
      <c r="BB6" s="22">
        <v>6.54</v>
      </c>
      <c r="BC6" s="20">
        <v>3.59</v>
      </c>
      <c r="BD6" s="20">
        <v>3.52</v>
      </c>
      <c r="BE6" s="20">
        <v>6.04</v>
      </c>
      <c r="BF6" s="20">
        <v>3.55</v>
      </c>
      <c r="BG6" s="20">
        <v>3.5</v>
      </c>
      <c r="BH6" s="20">
        <v>4.88</v>
      </c>
      <c r="BI6" s="20">
        <v>6.68</v>
      </c>
      <c r="BJ6" s="20">
        <v>6.73</v>
      </c>
      <c r="BK6" s="20">
        <v>8.34</v>
      </c>
      <c r="BL6" s="20">
        <v>5.98</v>
      </c>
      <c r="BM6" s="20">
        <v>8.9499999999999993</v>
      </c>
      <c r="BN6" s="20">
        <v>7.92</v>
      </c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</row>
    <row r="7" spans="1:88">
      <c r="A7" s="22" t="s">
        <v>7</v>
      </c>
      <c r="B7" s="24">
        <v>9.1999999999999998E-2</v>
      </c>
      <c r="C7" s="22">
        <v>0.1</v>
      </c>
      <c r="D7" s="22">
        <v>0.14000000000000001</v>
      </c>
      <c r="E7" s="22">
        <v>0.15</v>
      </c>
      <c r="F7" s="22">
        <v>0.22</v>
      </c>
      <c r="G7" s="20">
        <v>0.01</v>
      </c>
      <c r="H7" s="20">
        <v>0.08</v>
      </c>
      <c r="I7" s="20">
        <v>0.28000000000000003</v>
      </c>
      <c r="J7" s="20">
        <v>0.11</v>
      </c>
      <c r="K7" s="20">
        <v>0.21</v>
      </c>
      <c r="L7" s="22">
        <v>0</v>
      </c>
      <c r="M7" s="22">
        <v>0.03</v>
      </c>
      <c r="N7" s="22">
        <v>0.12</v>
      </c>
      <c r="O7" s="22">
        <v>0.1</v>
      </c>
      <c r="P7" s="22">
        <v>0.04</v>
      </c>
      <c r="Q7" s="22">
        <v>7.0000000000000007E-2</v>
      </c>
      <c r="R7" s="22">
        <v>0.1</v>
      </c>
      <c r="S7" s="22">
        <v>0</v>
      </c>
      <c r="T7" s="22">
        <v>0.08</v>
      </c>
      <c r="U7" s="20">
        <v>0.12</v>
      </c>
      <c r="V7" s="20">
        <v>0</v>
      </c>
      <c r="W7" s="20">
        <v>0.06</v>
      </c>
      <c r="X7" s="20">
        <v>0.15</v>
      </c>
      <c r="Y7" s="20">
        <v>7.0000000000000007E-2</v>
      </c>
      <c r="Z7" s="24">
        <v>7.0000000000000007E-2</v>
      </c>
      <c r="AA7" s="24">
        <v>0.16</v>
      </c>
      <c r="AB7" s="24">
        <v>0.17</v>
      </c>
      <c r="AC7" s="24">
        <v>0.09</v>
      </c>
      <c r="AD7" s="24">
        <v>0.11</v>
      </c>
      <c r="AE7" s="24">
        <v>0.14000000000000001</v>
      </c>
      <c r="AF7" s="24">
        <v>0.05</v>
      </c>
      <c r="AG7" s="24">
        <v>0.05</v>
      </c>
      <c r="AH7" s="24">
        <v>0.47</v>
      </c>
      <c r="AI7" s="68">
        <v>0.02</v>
      </c>
      <c r="AJ7" s="68">
        <v>7.0000000000000007E-2</v>
      </c>
      <c r="AK7" s="68">
        <v>0.14000000000000001</v>
      </c>
      <c r="AL7" s="68">
        <v>0.13</v>
      </c>
      <c r="AM7" s="68">
        <v>0.06</v>
      </c>
      <c r="AN7" s="24">
        <v>0.2</v>
      </c>
      <c r="AO7" s="24">
        <v>0.04</v>
      </c>
      <c r="AP7" s="24">
        <v>0.09</v>
      </c>
      <c r="AQ7" s="24">
        <v>0.08</v>
      </c>
      <c r="AR7" s="24">
        <v>0.17</v>
      </c>
      <c r="AS7" s="24">
        <v>0.1</v>
      </c>
      <c r="AT7" s="24">
        <v>0.06</v>
      </c>
      <c r="AU7" s="24">
        <v>0.08</v>
      </c>
      <c r="AV7" s="24">
        <v>0.05</v>
      </c>
      <c r="AW7" s="24">
        <v>0.17</v>
      </c>
      <c r="AX7" s="24">
        <v>0</v>
      </c>
      <c r="AY7" s="22">
        <v>0.01</v>
      </c>
      <c r="AZ7" s="22">
        <v>0.12</v>
      </c>
      <c r="BA7" s="22">
        <v>0.05</v>
      </c>
      <c r="BB7" s="22">
        <v>0.13</v>
      </c>
      <c r="BC7" s="20">
        <v>7.0000000000000007E-2</v>
      </c>
      <c r="BD7" s="20">
        <v>0</v>
      </c>
      <c r="BE7" s="20">
        <v>0.08</v>
      </c>
      <c r="BF7" s="20">
        <v>0.01</v>
      </c>
      <c r="BG7" s="20">
        <v>0.02</v>
      </c>
      <c r="BH7" s="20">
        <v>0.1</v>
      </c>
      <c r="BI7" s="20">
        <v>7.0000000000000007E-2</v>
      </c>
      <c r="BJ7" s="20">
        <v>0.08</v>
      </c>
      <c r="BK7" s="20">
        <v>0.08</v>
      </c>
      <c r="BL7" s="20">
        <v>0.03</v>
      </c>
      <c r="BM7" s="20">
        <v>0.19</v>
      </c>
      <c r="BN7" s="20">
        <v>0.11</v>
      </c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>
      <c r="A8" s="22" t="s">
        <v>8</v>
      </c>
      <c r="B8" s="24">
        <v>2.1000000000000001E-2</v>
      </c>
      <c r="C8" s="22">
        <v>0.02</v>
      </c>
      <c r="D8" s="22">
        <v>0</v>
      </c>
      <c r="E8" s="22">
        <v>0.12</v>
      </c>
      <c r="F8" s="22">
        <v>0.06</v>
      </c>
      <c r="G8" s="20">
        <v>0</v>
      </c>
      <c r="H8" s="20">
        <v>0</v>
      </c>
      <c r="I8" s="20">
        <v>0.03</v>
      </c>
      <c r="J8" s="20">
        <v>0</v>
      </c>
      <c r="K8" s="20">
        <v>0.11</v>
      </c>
      <c r="L8" s="22">
        <v>0</v>
      </c>
      <c r="M8" s="22">
        <v>0.02</v>
      </c>
      <c r="N8" s="22">
        <v>0.05</v>
      </c>
      <c r="O8" s="22">
        <v>0.08</v>
      </c>
      <c r="P8" s="22">
        <v>0</v>
      </c>
      <c r="Q8" s="22">
        <v>0</v>
      </c>
      <c r="R8" s="22">
        <v>0.06</v>
      </c>
      <c r="S8" s="22">
        <v>0.06</v>
      </c>
      <c r="T8" s="22">
        <v>0</v>
      </c>
      <c r="U8" s="20">
        <v>0.05</v>
      </c>
      <c r="V8" s="20">
        <v>0.37</v>
      </c>
      <c r="W8" s="20">
        <v>0.13</v>
      </c>
      <c r="X8" s="20">
        <v>0.06</v>
      </c>
      <c r="Y8" s="20">
        <v>0.01</v>
      </c>
      <c r="Z8" s="24">
        <v>0</v>
      </c>
      <c r="AA8" s="24">
        <v>0</v>
      </c>
      <c r="AB8" s="24">
        <v>0</v>
      </c>
      <c r="AC8" s="24">
        <v>0.1</v>
      </c>
      <c r="AD8" s="24">
        <v>7.0000000000000007E-2</v>
      </c>
      <c r="AE8" s="24">
        <v>0.35</v>
      </c>
      <c r="AF8" s="24">
        <v>0.01</v>
      </c>
      <c r="AG8" s="24">
        <v>7.0000000000000007E-2</v>
      </c>
      <c r="AH8" s="24">
        <v>0</v>
      </c>
      <c r="AI8" s="68">
        <v>0.1</v>
      </c>
      <c r="AJ8" s="68">
        <v>0.02</v>
      </c>
      <c r="AK8" s="68">
        <v>0.03</v>
      </c>
      <c r="AL8" s="68">
        <v>0.04</v>
      </c>
      <c r="AM8" s="68">
        <v>0.06</v>
      </c>
      <c r="AN8" s="24">
        <v>0.02</v>
      </c>
      <c r="AO8" s="24">
        <v>0.06</v>
      </c>
      <c r="AP8" s="24">
        <v>0.09</v>
      </c>
      <c r="AQ8" s="24">
        <v>0.15</v>
      </c>
      <c r="AR8" s="24">
        <v>0.06</v>
      </c>
      <c r="AS8" s="24">
        <v>0.01</v>
      </c>
      <c r="AT8" s="24">
        <v>0.11</v>
      </c>
      <c r="AU8" s="24">
        <v>0.03</v>
      </c>
      <c r="AV8" s="24">
        <v>0</v>
      </c>
      <c r="AW8" s="24">
        <v>0.06</v>
      </c>
      <c r="AX8" s="24">
        <v>0</v>
      </c>
      <c r="AY8" s="22">
        <v>7.0000000000000007E-2</v>
      </c>
      <c r="AZ8" s="22">
        <v>0.09</v>
      </c>
      <c r="BA8" s="22">
        <v>7.0000000000000007E-2</v>
      </c>
      <c r="BB8" s="22">
        <v>0</v>
      </c>
      <c r="BC8" s="20">
        <v>0</v>
      </c>
      <c r="BD8" s="20">
        <v>0.01</v>
      </c>
      <c r="BE8" s="20">
        <v>0</v>
      </c>
      <c r="BF8" s="20">
        <v>0</v>
      </c>
      <c r="BG8" s="20">
        <v>0.06</v>
      </c>
      <c r="BH8" s="20">
        <v>0.04</v>
      </c>
      <c r="BI8" s="20">
        <v>0.02</v>
      </c>
      <c r="BJ8" s="20">
        <v>0</v>
      </c>
      <c r="BK8" s="20">
        <v>7.0000000000000007E-2</v>
      </c>
      <c r="BL8" s="20">
        <v>0.01</v>
      </c>
      <c r="BM8" s="20">
        <v>0</v>
      </c>
      <c r="BN8" s="20">
        <v>0</v>
      </c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</row>
    <row r="9" spans="1:88">
      <c r="A9" s="22" t="s">
        <v>9</v>
      </c>
      <c r="B9" s="24">
        <v>0.51100000000000001</v>
      </c>
      <c r="C9" s="22">
        <v>0.47</v>
      </c>
      <c r="D9" s="22">
        <v>0.43</v>
      </c>
      <c r="E9" s="22">
        <v>0.27</v>
      </c>
      <c r="F9" s="22">
        <v>0.79</v>
      </c>
      <c r="G9" s="20">
        <v>0.66</v>
      </c>
      <c r="H9" s="20">
        <v>0.61</v>
      </c>
      <c r="I9" s="20">
        <v>0.82</v>
      </c>
      <c r="J9" s="20">
        <v>0.74</v>
      </c>
      <c r="K9" s="20">
        <v>0.68</v>
      </c>
      <c r="L9" s="22">
        <v>0.66</v>
      </c>
      <c r="M9" s="22">
        <v>0.73</v>
      </c>
      <c r="N9" s="22">
        <v>1.18</v>
      </c>
      <c r="O9" s="22">
        <v>1.23</v>
      </c>
      <c r="P9" s="22">
        <v>0.71</v>
      </c>
      <c r="Q9" s="22">
        <v>0.52</v>
      </c>
      <c r="R9" s="22">
        <v>0.63</v>
      </c>
      <c r="S9" s="22">
        <v>1.04</v>
      </c>
      <c r="T9" s="22">
        <v>2.0099999999999998</v>
      </c>
      <c r="U9" s="20">
        <v>0.5</v>
      </c>
      <c r="V9" s="20">
        <v>0.47</v>
      </c>
      <c r="W9" s="20">
        <v>0.47</v>
      </c>
      <c r="X9" s="20">
        <v>0.48</v>
      </c>
      <c r="Y9" s="20">
        <v>0.36</v>
      </c>
      <c r="Z9" s="24">
        <v>0.55000000000000004</v>
      </c>
      <c r="AA9" s="24">
        <v>0.44</v>
      </c>
      <c r="AB9" s="24">
        <v>0.19</v>
      </c>
      <c r="AC9" s="24">
        <v>0.5</v>
      </c>
      <c r="AD9" s="24">
        <v>0.43</v>
      </c>
      <c r="AE9" s="24">
        <v>0.39</v>
      </c>
      <c r="AF9" s="24">
        <v>0.3</v>
      </c>
      <c r="AG9" s="24">
        <v>0.42</v>
      </c>
      <c r="AH9" s="24">
        <v>0.44</v>
      </c>
      <c r="AI9" s="68">
        <v>0.41</v>
      </c>
      <c r="AJ9" s="68">
        <v>0.53</v>
      </c>
      <c r="AK9" s="68">
        <v>0.31</v>
      </c>
      <c r="AL9" s="68">
        <v>0.55000000000000004</v>
      </c>
      <c r="AM9" s="68">
        <v>0.62</v>
      </c>
      <c r="AN9" s="24">
        <v>0.45</v>
      </c>
      <c r="AO9" s="24">
        <v>1.1000000000000001</v>
      </c>
      <c r="AP9" s="24">
        <v>0.48</v>
      </c>
      <c r="AQ9" s="24">
        <v>0.37</v>
      </c>
      <c r="AR9" s="24">
        <v>0.78</v>
      </c>
      <c r="AS9" s="24">
        <v>0.43</v>
      </c>
      <c r="AT9" s="24">
        <v>1.21</v>
      </c>
      <c r="AU9" s="24">
        <v>0.44</v>
      </c>
      <c r="AV9" s="24">
        <v>1.88</v>
      </c>
      <c r="AW9" s="24">
        <v>0.78</v>
      </c>
      <c r="AX9" s="24">
        <v>0.59</v>
      </c>
      <c r="AY9" s="22">
        <v>0.21</v>
      </c>
      <c r="AZ9" s="22">
        <v>0.02</v>
      </c>
      <c r="BA9" s="22">
        <v>0.44</v>
      </c>
      <c r="BB9" s="22">
        <v>0.48</v>
      </c>
      <c r="BC9" s="20">
        <v>7.0000000000000007E-2</v>
      </c>
      <c r="BD9" s="20">
        <v>0.09</v>
      </c>
      <c r="BE9" s="20">
        <v>1.04</v>
      </c>
      <c r="BF9" s="20">
        <v>0</v>
      </c>
      <c r="BG9" s="20">
        <v>0.17</v>
      </c>
      <c r="BH9" s="20">
        <v>0.26</v>
      </c>
      <c r="BI9" s="20">
        <v>1.93</v>
      </c>
      <c r="BJ9" s="20">
        <v>2.0299999999999998</v>
      </c>
      <c r="BK9" s="20">
        <v>1.31</v>
      </c>
      <c r="BL9" s="20">
        <v>0.21</v>
      </c>
      <c r="BM9" s="20">
        <v>2.61</v>
      </c>
      <c r="BN9" s="20">
        <v>1.04</v>
      </c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</row>
    <row r="10" spans="1:88">
      <c r="A10" s="22" t="s">
        <v>118</v>
      </c>
      <c r="B10" s="24">
        <v>34.258000000000003</v>
      </c>
      <c r="C10" s="22">
        <v>23.47</v>
      </c>
      <c r="D10" s="22">
        <v>22.24</v>
      </c>
      <c r="E10" s="22">
        <v>21.02</v>
      </c>
      <c r="F10" s="22">
        <v>21.45</v>
      </c>
      <c r="G10" s="20">
        <v>25.18</v>
      </c>
      <c r="H10" s="20">
        <v>24.39</v>
      </c>
      <c r="I10" s="20">
        <v>26.93</v>
      </c>
      <c r="J10" s="20">
        <v>25.01</v>
      </c>
      <c r="K10" s="20">
        <v>25.34</v>
      </c>
      <c r="L10" s="22">
        <v>22.78</v>
      </c>
      <c r="M10" s="22">
        <v>23.27</v>
      </c>
      <c r="N10" s="22">
        <v>24.86</v>
      </c>
      <c r="O10" s="22">
        <v>21.1</v>
      </c>
      <c r="P10" s="22">
        <v>22.09</v>
      </c>
      <c r="Q10" s="22">
        <v>22.26</v>
      </c>
      <c r="R10" s="22">
        <v>22.92</v>
      </c>
      <c r="S10" s="22">
        <v>22.96</v>
      </c>
      <c r="T10" s="22">
        <v>21.27</v>
      </c>
      <c r="U10" s="20">
        <v>21.9</v>
      </c>
      <c r="V10" s="20">
        <v>23.46</v>
      </c>
      <c r="W10" s="20">
        <v>21.62</v>
      </c>
      <c r="X10" s="20">
        <v>19.39</v>
      </c>
      <c r="Y10" s="20">
        <v>19.899999999999999</v>
      </c>
      <c r="Z10" s="24">
        <v>26.63</v>
      </c>
      <c r="AA10" s="24">
        <v>25.04</v>
      </c>
      <c r="AB10" s="24">
        <v>25.18</v>
      </c>
      <c r="AC10" s="24">
        <v>24.39</v>
      </c>
      <c r="AD10" s="24">
        <v>24.38</v>
      </c>
      <c r="AE10" s="24">
        <v>24.43</v>
      </c>
      <c r="AF10" s="24">
        <v>25.36</v>
      </c>
      <c r="AG10" s="24">
        <v>25.04</v>
      </c>
      <c r="AH10" s="24">
        <v>23.62</v>
      </c>
      <c r="AI10" s="68">
        <v>21.91</v>
      </c>
      <c r="AJ10" s="68">
        <v>22.37</v>
      </c>
      <c r="AK10" s="68">
        <v>20.81</v>
      </c>
      <c r="AL10" s="68">
        <v>20.81</v>
      </c>
      <c r="AM10" s="68">
        <v>22.3</v>
      </c>
      <c r="AN10" s="24">
        <v>22.85</v>
      </c>
      <c r="AO10" s="24">
        <v>21.21</v>
      </c>
      <c r="AP10" s="24">
        <v>21.8</v>
      </c>
      <c r="AQ10" s="24">
        <v>21.2</v>
      </c>
      <c r="AR10" s="24">
        <v>20.43</v>
      </c>
      <c r="AS10" s="24">
        <v>21.28</v>
      </c>
      <c r="AT10" s="24">
        <v>22.91</v>
      </c>
      <c r="AU10" s="24">
        <v>20.87</v>
      </c>
      <c r="AV10" s="24">
        <v>21.61</v>
      </c>
      <c r="AW10" s="24">
        <v>20.43</v>
      </c>
      <c r="AX10" s="24">
        <v>21.96</v>
      </c>
      <c r="AY10" s="22">
        <v>22.58</v>
      </c>
      <c r="AZ10" s="22">
        <v>23.57</v>
      </c>
      <c r="BA10" s="22">
        <v>27.5</v>
      </c>
      <c r="BB10" s="22">
        <v>26.63</v>
      </c>
      <c r="BC10" s="20">
        <v>21.96</v>
      </c>
      <c r="BD10" s="20">
        <v>22.35</v>
      </c>
      <c r="BE10" s="20">
        <v>25.54</v>
      </c>
      <c r="BF10" s="20">
        <v>22.56</v>
      </c>
      <c r="BG10" s="20">
        <v>23.06</v>
      </c>
      <c r="BH10" s="20">
        <v>23.16</v>
      </c>
      <c r="BI10" s="20">
        <v>25.18</v>
      </c>
      <c r="BJ10" s="20">
        <v>24.2</v>
      </c>
      <c r="BK10" s="20">
        <v>28.71</v>
      </c>
      <c r="BL10" s="20">
        <v>24.31</v>
      </c>
      <c r="BM10" s="20">
        <v>27.61</v>
      </c>
      <c r="BN10" s="20">
        <v>28.37</v>
      </c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</row>
    <row r="11" spans="1:88">
      <c r="A11" s="22" t="s">
        <v>11</v>
      </c>
      <c r="B11" s="24">
        <v>1.7000000000000001E-2</v>
      </c>
      <c r="C11" s="22">
        <v>0</v>
      </c>
      <c r="D11" s="22">
        <v>0</v>
      </c>
      <c r="E11" s="22">
        <v>0</v>
      </c>
      <c r="F11" s="22">
        <v>0</v>
      </c>
      <c r="G11" s="20">
        <v>0</v>
      </c>
      <c r="H11" s="20">
        <v>0</v>
      </c>
      <c r="I11" s="20">
        <v>0</v>
      </c>
      <c r="J11" s="20">
        <v>0.03</v>
      </c>
      <c r="K11" s="20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0">
        <v>0</v>
      </c>
      <c r="V11" s="20">
        <v>0.06</v>
      </c>
      <c r="W11" s="20">
        <v>0.05</v>
      </c>
      <c r="X11" s="20">
        <v>0</v>
      </c>
      <c r="Y11" s="20">
        <v>0.08</v>
      </c>
      <c r="Z11" s="24">
        <v>0.11</v>
      </c>
      <c r="AA11" s="24">
        <v>7.0000000000000007E-2</v>
      </c>
      <c r="AB11" s="24">
        <v>0.19</v>
      </c>
      <c r="AC11" s="24">
        <v>7.0000000000000007E-2</v>
      </c>
      <c r="AD11" s="24">
        <v>0</v>
      </c>
      <c r="AE11" s="24">
        <v>0.03</v>
      </c>
      <c r="AF11" s="24">
        <v>0</v>
      </c>
      <c r="AG11" s="24">
        <v>0</v>
      </c>
      <c r="AH11" s="24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24">
        <v>0.06</v>
      </c>
      <c r="AO11" s="24">
        <v>0.05</v>
      </c>
      <c r="AP11" s="24">
        <v>0.01</v>
      </c>
      <c r="AQ11" s="24">
        <v>0.04</v>
      </c>
      <c r="AR11" s="24">
        <v>0.02</v>
      </c>
      <c r="AS11" s="24">
        <v>0</v>
      </c>
      <c r="AT11" s="24">
        <v>0</v>
      </c>
      <c r="AU11" s="24">
        <v>0</v>
      </c>
      <c r="AV11" s="24">
        <v>0</v>
      </c>
      <c r="AW11" s="24">
        <v>0.02</v>
      </c>
      <c r="AX11" s="24">
        <v>0</v>
      </c>
      <c r="AY11" s="22">
        <v>0.03</v>
      </c>
      <c r="AZ11" s="22">
        <v>0</v>
      </c>
      <c r="BA11" s="22">
        <v>0.03</v>
      </c>
      <c r="BB11" s="22">
        <v>0.03</v>
      </c>
      <c r="BC11" s="20">
        <v>7.0000000000000007E-2</v>
      </c>
      <c r="BD11" s="20">
        <v>0.02</v>
      </c>
      <c r="BE11" s="20">
        <v>0.03</v>
      </c>
      <c r="BF11" s="20">
        <v>7.0000000000000007E-2</v>
      </c>
      <c r="BG11" s="20">
        <v>0</v>
      </c>
      <c r="BH11" s="20">
        <v>0</v>
      </c>
      <c r="BI11" s="20">
        <v>0</v>
      </c>
      <c r="BJ11" s="20">
        <v>0.02</v>
      </c>
      <c r="BK11" s="20">
        <v>0.05</v>
      </c>
      <c r="BL11" s="20">
        <v>0</v>
      </c>
      <c r="BM11" s="20">
        <v>0.01</v>
      </c>
      <c r="BN11" s="20">
        <v>0.02</v>
      </c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</row>
    <row r="12" spans="1:88">
      <c r="A12" s="22" t="s">
        <v>12</v>
      </c>
      <c r="B12" s="24">
        <v>1.6E-2</v>
      </c>
      <c r="C12" s="22">
        <v>0.01</v>
      </c>
      <c r="D12" s="22">
        <v>0.08</v>
      </c>
      <c r="E12" s="22">
        <v>0.02</v>
      </c>
      <c r="F12" s="22">
        <v>0</v>
      </c>
      <c r="G12" s="20">
        <v>0</v>
      </c>
      <c r="H12" s="20">
        <v>0</v>
      </c>
      <c r="I12" s="20">
        <v>0.25</v>
      </c>
      <c r="J12" s="20">
        <v>0.01</v>
      </c>
      <c r="K12" s="20">
        <v>7.0000000000000007E-2</v>
      </c>
      <c r="L12" s="22">
        <v>0</v>
      </c>
      <c r="M12" s="22">
        <v>0.03</v>
      </c>
      <c r="N12" s="22">
        <v>7.0000000000000007E-2</v>
      </c>
      <c r="O12" s="22">
        <v>0.06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0">
        <v>0.06</v>
      </c>
      <c r="V12" s="20">
        <v>0.02</v>
      </c>
      <c r="W12" s="20">
        <v>0.08</v>
      </c>
      <c r="X12" s="20">
        <v>0.04</v>
      </c>
      <c r="Y12" s="20">
        <v>0.05</v>
      </c>
      <c r="Z12" s="24">
        <v>0.03</v>
      </c>
      <c r="AA12" s="24">
        <v>0.08</v>
      </c>
      <c r="AB12" s="24">
        <v>0</v>
      </c>
      <c r="AC12" s="24">
        <v>0</v>
      </c>
      <c r="AD12" s="24">
        <v>0.02</v>
      </c>
      <c r="AE12" s="24">
        <v>0.02</v>
      </c>
      <c r="AF12" s="24">
        <v>0.02</v>
      </c>
      <c r="AG12" s="24">
        <v>0</v>
      </c>
      <c r="AH12" s="24">
        <v>0.03</v>
      </c>
      <c r="AI12" s="68">
        <v>0.02</v>
      </c>
      <c r="AJ12" s="68">
        <v>0.03</v>
      </c>
      <c r="AK12" s="68">
        <v>0.37</v>
      </c>
      <c r="AL12" s="68">
        <v>0</v>
      </c>
      <c r="AM12" s="68">
        <v>0.02</v>
      </c>
      <c r="AN12" s="24">
        <v>0</v>
      </c>
      <c r="AO12" s="24">
        <v>0.05</v>
      </c>
      <c r="AP12" s="24">
        <v>0.04</v>
      </c>
      <c r="AQ12" s="24">
        <v>0</v>
      </c>
      <c r="AR12" s="24">
        <v>0.12</v>
      </c>
      <c r="AS12" s="24">
        <v>0</v>
      </c>
      <c r="AT12" s="24">
        <v>0</v>
      </c>
      <c r="AU12" s="24">
        <v>0.06</v>
      </c>
      <c r="AV12" s="24">
        <v>0.04</v>
      </c>
      <c r="AW12" s="24">
        <v>0.12</v>
      </c>
      <c r="AX12" s="24">
        <v>0.03</v>
      </c>
      <c r="AY12" s="22">
        <v>0</v>
      </c>
      <c r="AZ12" s="22">
        <v>0.02</v>
      </c>
      <c r="BA12" s="22">
        <v>7.0000000000000007E-2</v>
      </c>
      <c r="BB12" s="22">
        <v>0.03</v>
      </c>
      <c r="BC12" s="20">
        <v>0.03</v>
      </c>
      <c r="BD12" s="20">
        <v>0.01</v>
      </c>
      <c r="BE12" s="20">
        <v>0</v>
      </c>
      <c r="BF12" s="20">
        <v>0.01</v>
      </c>
      <c r="BG12" s="20">
        <v>0</v>
      </c>
      <c r="BH12" s="20">
        <v>0.04</v>
      </c>
      <c r="BI12" s="20">
        <v>0.01</v>
      </c>
      <c r="BJ12" s="20">
        <v>0.01</v>
      </c>
      <c r="BK12" s="20">
        <v>0.03</v>
      </c>
      <c r="BL12" s="20">
        <v>0.06</v>
      </c>
      <c r="BM12" s="20">
        <v>0.05</v>
      </c>
      <c r="BN12" s="20">
        <v>0.08</v>
      </c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</row>
    <row r="13" spans="1:88">
      <c r="A13" s="22" t="s">
        <v>13</v>
      </c>
      <c r="B13" s="24">
        <v>37.680999999999997</v>
      </c>
      <c r="C13" s="22">
        <v>39.5</v>
      </c>
      <c r="D13" s="22">
        <v>39.68</v>
      </c>
      <c r="E13" s="22">
        <v>39.619999999999997</v>
      </c>
      <c r="F13" s="22">
        <v>39.61</v>
      </c>
      <c r="G13" s="20">
        <v>38.659999999999997</v>
      </c>
      <c r="H13" s="20">
        <v>38.909999999999997</v>
      </c>
      <c r="I13" s="20">
        <v>38.71</v>
      </c>
      <c r="J13" s="20">
        <v>39.11</v>
      </c>
      <c r="K13" s="20">
        <v>39.24</v>
      </c>
      <c r="L13" s="22">
        <v>39.64</v>
      </c>
      <c r="M13" s="22">
        <v>39.130000000000003</v>
      </c>
      <c r="N13" s="22">
        <v>39.4</v>
      </c>
      <c r="O13" s="22">
        <v>39.770000000000003</v>
      </c>
      <c r="P13" s="22">
        <v>40.1</v>
      </c>
      <c r="Q13" s="22">
        <v>39.92</v>
      </c>
      <c r="R13" s="22">
        <v>40.15</v>
      </c>
      <c r="S13" s="22">
        <v>39.35</v>
      </c>
      <c r="T13" s="22">
        <v>39.130000000000003</v>
      </c>
      <c r="U13" s="20">
        <v>40.880000000000003</v>
      </c>
      <c r="V13" s="20">
        <v>40.57</v>
      </c>
      <c r="W13" s="20">
        <v>40.47</v>
      </c>
      <c r="X13" s="20">
        <v>41.09</v>
      </c>
      <c r="Y13" s="20">
        <v>41.91</v>
      </c>
      <c r="Z13" s="24">
        <v>39.32</v>
      </c>
      <c r="AA13" s="24">
        <v>39.01</v>
      </c>
      <c r="AB13" s="24">
        <v>37.75</v>
      </c>
      <c r="AC13" s="24">
        <v>37.9</v>
      </c>
      <c r="AD13" s="24">
        <v>38.549999999999997</v>
      </c>
      <c r="AE13" s="24">
        <v>38.880000000000003</v>
      </c>
      <c r="AF13" s="24">
        <v>38.17</v>
      </c>
      <c r="AG13" s="24">
        <v>38.57</v>
      </c>
      <c r="AH13" s="24">
        <v>38.72</v>
      </c>
      <c r="AI13" s="68">
        <v>39.39</v>
      </c>
      <c r="AJ13" s="68">
        <v>40</v>
      </c>
      <c r="AK13" s="68">
        <v>39.72</v>
      </c>
      <c r="AL13" s="68">
        <v>39.93</v>
      </c>
      <c r="AM13" s="68">
        <v>40</v>
      </c>
      <c r="AN13" s="24">
        <v>39.08</v>
      </c>
      <c r="AO13" s="24">
        <v>39.54</v>
      </c>
      <c r="AP13" s="24">
        <v>39.049999999999997</v>
      </c>
      <c r="AQ13" s="24">
        <v>39.24</v>
      </c>
      <c r="AR13" s="24">
        <v>40.049999999999997</v>
      </c>
      <c r="AS13" s="24">
        <v>40.01</v>
      </c>
      <c r="AT13" s="24">
        <v>39.46</v>
      </c>
      <c r="AU13" s="24">
        <v>40.4</v>
      </c>
      <c r="AV13" s="24">
        <v>39.71</v>
      </c>
      <c r="AW13" s="24">
        <v>40.049999999999997</v>
      </c>
      <c r="AX13" s="24">
        <v>39.549999999999997</v>
      </c>
      <c r="AY13" s="22">
        <v>39.799999999999997</v>
      </c>
      <c r="AZ13" s="22">
        <v>39.43</v>
      </c>
      <c r="BA13" s="22">
        <v>39.17</v>
      </c>
      <c r="BB13" s="22">
        <v>39.14</v>
      </c>
      <c r="BC13" s="20">
        <v>41.14</v>
      </c>
      <c r="BD13" s="20">
        <v>40.61</v>
      </c>
      <c r="BE13" s="20">
        <v>39.729999999999997</v>
      </c>
      <c r="BF13" s="20">
        <v>40.98</v>
      </c>
      <c r="BG13" s="20">
        <v>40.770000000000003</v>
      </c>
      <c r="BH13" s="20">
        <v>40.840000000000003</v>
      </c>
      <c r="BI13" s="20">
        <v>39.78</v>
      </c>
      <c r="BJ13" s="20">
        <v>38.57</v>
      </c>
      <c r="BK13" s="20">
        <v>38.74</v>
      </c>
      <c r="BL13" s="20">
        <v>38.549999999999997</v>
      </c>
      <c r="BM13" s="20">
        <v>38.03</v>
      </c>
      <c r="BN13" s="20">
        <v>37.76</v>
      </c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</row>
    <row r="14" spans="1:88">
      <c r="A14" s="22" t="s">
        <v>14</v>
      </c>
      <c r="B14" s="24">
        <v>21.295999999999999</v>
      </c>
      <c r="C14" s="22">
        <v>22.41</v>
      </c>
      <c r="D14" s="22">
        <v>21.93</v>
      </c>
      <c r="E14" s="22">
        <v>22.34</v>
      </c>
      <c r="F14" s="22">
        <v>22.14</v>
      </c>
      <c r="G14" s="20">
        <v>21.66</v>
      </c>
      <c r="H14" s="20">
        <v>22.01</v>
      </c>
      <c r="I14" s="20">
        <v>22.13</v>
      </c>
      <c r="J14" s="20">
        <v>22.07</v>
      </c>
      <c r="K14" s="20">
        <v>22.27</v>
      </c>
      <c r="L14" s="22">
        <v>22.02</v>
      </c>
      <c r="M14" s="22">
        <v>22.16</v>
      </c>
      <c r="N14" s="22">
        <v>21.86</v>
      </c>
      <c r="O14" s="22">
        <v>22.28</v>
      </c>
      <c r="P14" s="22">
        <v>22.64</v>
      </c>
      <c r="Q14" s="22">
        <v>23.01</v>
      </c>
      <c r="R14" s="22">
        <v>22.59</v>
      </c>
      <c r="S14" s="22">
        <v>22.4</v>
      </c>
      <c r="T14" s="22">
        <v>22.42</v>
      </c>
      <c r="U14" s="20">
        <v>23.53</v>
      </c>
      <c r="V14" s="20">
        <v>22.96</v>
      </c>
      <c r="W14" s="20">
        <v>23.81</v>
      </c>
      <c r="X14" s="20">
        <v>23.71</v>
      </c>
      <c r="Y14" s="20">
        <v>24.15</v>
      </c>
      <c r="Z14" s="24">
        <v>22.35</v>
      </c>
      <c r="AA14" s="24">
        <v>22.34</v>
      </c>
      <c r="AB14" s="24">
        <v>22.62</v>
      </c>
      <c r="AC14" s="24">
        <v>22.3</v>
      </c>
      <c r="AD14" s="24">
        <v>22.44</v>
      </c>
      <c r="AE14" s="24">
        <v>22.38</v>
      </c>
      <c r="AF14" s="24">
        <v>22.26</v>
      </c>
      <c r="AG14" s="24">
        <v>21.97</v>
      </c>
      <c r="AH14" s="24">
        <v>21.95</v>
      </c>
      <c r="AI14" s="68">
        <v>22.93</v>
      </c>
      <c r="AJ14" s="68">
        <v>22.48</v>
      </c>
      <c r="AK14" s="68">
        <v>22.65</v>
      </c>
      <c r="AL14" s="68">
        <v>22.51</v>
      </c>
      <c r="AM14" s="68">
        <v>23.01</v>
      </c>
      <c r="AN14" s="24">
        <v>22.95</v>
      </c>
      <c r="AO14" s="24">
        <v>23.27</v>
      </c>
      <c r="AP14" s="24">
        <v>22.96</v>
      </c>
      <c r="AQ14" s="24">
        <v>22.88</v>
      </c>
      <c r="AR14" s="24">
        <v>22.82</v>
      </c>
      <c r="AS14" s="24">
        <v>22.59</v>
      </c>
      <c r="AT14" s="24">
        <v>22.72</v>
      </c>
      <c r="AU14" s="24">
        <v>22.57</v>
      </c>
      <c r="AV14" s="24">
        <v>22.55</v>
      </c>
      <c r="AW14" s="24">
        <v>22.82</v>
      </c>
      <c r="AX14" s="24">
        <v>22.64</v>
      </c>
      <c r="AY14" s="22">
        <v>22.45</v>
      </c>
      <c r="AZ14" s="22">
        <v>22.53</v>
      </c>
      <c r="BA14" s="22">
        <v>22.38</v>
      </c>
      <c r="BB14" s="22">
        <v>22.37</v>
      </c>
      <c r="BC14" s="20">
        <v>22.92</v>
      </c>
      <c r="BD14" s="20">
        <v>22.97</v>
      </c>
      <c r="BE14" s="20">
        <v>22.47</v>
      </c>
      <c r="BF14" s="20">
        <v>23.71</v>
      </c>
      <c r="BG14" s="20">
        <v>23.2</v>
      </c>
      <c r="BH14" s="20">
        <v>23.1</v>
      </c>
      <c r="BI14" s="20">
        <v>22.93</v>
      </c>
      <c r="BJ14" s="20">
        <v>22.24</v>
      </c>
      <c r="BK14" s="20">
        <v>21.47</v>
      </c>
      <c r="BL14" s="20">
        <v>22.2</v>
      </c>
      <c r="BM14" s="20">
        <v>21.14</v>
      </c>
      <c r="BN14" s="20">
        <v>21.64</v>
      </c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</row>
    <row r="15" spans="1:88">
      <c r="A15" s="22" t="s">
        <v>15</v>
      </c>
      <c r="B15" s="24">
        <v>5.0599999999999996</v>
      </c>
      <c r="C15" s="22">
        <v>7.7</v>
      </c>
      <c r="D15" s="22">
        <v>6.79</v>
      </c>
      <c r="E15" s="22">
        <v>5.38</v>
      </c>
      <c r="F15" s="22">
        <v>5.26</v>
      </c>
      <c r="G15" s="20">
        <v>4.9400000000000004</v>
      </c>
      <c r="H15" s="20">
        <v>4.59</v>
      </c>
      <c r="I15" s="20">
        <v>5.33</v>
      </c>
      <c r="J15" s="20">
        <v>4.72</v>
      </c>
      <c r="K15" s="20">
        <v>4.68</v>
      </c>
      <c r="L15" s="22">
        <v>8.3000000000000007</v>
      </c>
      <c r="M15" s="22">
        <v>7.77</v>
      </c>
      <c r="N15" s="22">
        <v>5.38</v>
      </c>
      <c r="O15" s="22">
        <v>6.36</v>
      </c>
      <c r="P15" s="22">
        <v>8.36</v>
      </c>
      <c r="Q15" s="22">
        <v>7.68</v>
      </c>
      <c r="R15" s="22">
        <v>8.6</v>
      </c>
      <c r="S15" s="22">
        <v>7.3</v>
      </c>
      <c r="T15" s="22">
        <v>5.57</v>
      </c>
      <c r="U15" s="20">
        <v>10.72</v>
      </c>
      <c r="V15" s="20">
        <v>10.69</v>
      </c>
      <c r="W15" s="20">
        <v>11.2</v>
      </c>
      <c r="X15" s="20">
        <v>12.42</v>
      </c>
      <c r="Y15" s="20">
        <v>11.65</v>
      </c>
      <c r="Z15" s="24">
        <v>3.87</v>
      </c>
      <c r="AA15" s="24">
        <v>3.74</v>
      </c>
      <c r="AB15" s="24">
        <v>3.37</v>
      </c>
      <c r="AC15" s="24">
        <v>4.33</v>
      </c>
      <c r="AD15" s="24">
        <v>3.91</v>
      </c>
      <c r="AE15" s="24">
        <v>4.04</v>
      </c>
      <c r="AF15" s="24">
        <v>3.74</v>
      </c>
      <c r="AG15" s="24">
        <v>3.96</v>
      </c>
      <c r="AH15" s="24">
        <v>3.55</v>
      </c>
      <c r="AI15" s="68">
        <v>8.3800000000000008</v>
      </c>
      <c r="AJ15" s="68">
        <v>8.24</v>
      </c>
      <c r="AK15" s="68">
        <v>6.4</v>
      </c>
      <c r="AL15" s="68">
        <v>6.49</v>
      </c>
      <c r="AM15" s="68">
        <v>8.39</v>
      </c>
      <c r="AN15" s="24">
        <v>5.55</v>
      </c>
      <c r="AO15" s="24">
        <v>5.53</v>
      </c>
      <c r="AP15" s="24">
        <v>9.0500000000000007</v>
      </c>
      <c r="AQ15" s="24">
        <v>6.27</v>
      </c>
      <c r="AR15" s="24">
        <v>6.34</v>
      </c>
      <c r="AS15" s="24">
        <v>7.87</v>
      </c>
      <c r="AT15" s="36">
        <v>4.09</v>
      </c>
      <c r="AU15" s="24">
        <v>6.66</v>
      </c>
      <c r="AV15" s="24">
        <v>4.66</v>
      </c>
      <c r="AW15" s="24">
        <v>6.34</v>
      </c>
      <c r="AX15" s="24">
        <v>7.35</v>
      </c>
      <c r="AY15" s="22">
        <v>8.9499999999999993</v>
      </c>
      <c r="AZ15" s="22">
        <v>7.59</v>
      </c>
      <c r="BA15" s="22">
        <v>5.59</v>
      </c>
      <c r="BB15" s="22">
        <v>5.68</v>
      </c>
      <c r="BC15" s="20">
        <v>12.08</v>
      </c>
      <c r="BD15" s="20">
        <v>11.62</v>
      </c>
      <c r="BE15" s="20">
        <v>6.93</v>
      </c>
      <c r="BF15" s="20">
        <v>12.17</v>
      </c>
      <c r="BG15" s="20">
        <v>12.04</v>
      </c>
      <c r="BH15" s="20">
        <v>10.029999999999999</v>
      </c>
      <c r="BI15" s="20">
        <v>6.15</v>
      </c>
      <c r="BJ15" s="20">
        <v>6.2</v>
      </c>
      <c r="BK15" s="20">
        <v>2.78</v>
      </c>
      <c r="BL15" s="20">
        <v>8.5</v>
      </c>
      <c r="BM15" s="20">
        <v>2.16</v>
      </c>
      <c r="BN15" s="20">
        <v>3.51</v>
      </c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</row>
    <row r="16" spans="1:88">
      <c r="A16" s="22" t="s">
        <v>16</v>
      </c>
      <c r="B16" s="36">
        <f t="shared" ref="B16:Q16" si="0">SUM(B5:B15)</f>
        <v>100.22800000000001</v>
      </c>
      <c r="C16" s="36">
        <f t="shared" si="0"/>
        <v>101.13</v>
      </c>
      <c r="D16" s="36">
        <f t="shared" si="0"/>
        <v>100.67</v>
      </c>
      <c r="E16" s="36">
        <f t="shared" si="0"/>
        <v>101.06</v>
      </c>
      <c r="F16" s="36">
        <f t="shared" si="0"/>
        <v>101.41000000000001</v>
      </c>
      <c r="G16" s="36">
        <f t="shared" si="0"/>
        <v>99.649999999999991</v>
      </c>
      <c r="H16" s="36">
        <f t="shared" si="0"/>
        <v>100.38000000000001</v>
      </c>
      <c r="I16" s="36">
        <f t="shared" si="0"/>
        <v>102.32</v>
      </c>
      <c r="J16" s="36">
        <f t="shared" si="0"/>
        <v>102.03</v>
      </c>
      <c r="K16" s="36">
        <f t="shared" si="0"/>
        <v>102.47</v>
      </c>
      <c r="L16" s="36">
        <f t="shared" si="0"/>
        <v>100.36</v>
      </c>
      <c r="M16" s="36">
        <f t="shared" si="0"/>
        <v>100.35</v>
      </c>
      <c r="N16" s="36">
        <f t="shared" si="0"/>
        <v>101.28999999999999</v>
      </c>
      <c r="O16" s="36">
        <f t="shared" si="0"/>
        <v>101.68</v>
      </c>
      <c r="P16" s="36">
        <f t="shared" si="0"/>
        <v>101.21000000000001</v>
      </c>
      <c r="Q16" s="36">
        <f t="shared" si="0"/>
        <v>101.63</v>
      </c>
      <c r="R16" s="36">
        <f t="shared" ref="R16:AG16" si="1">SUM(R5:R15)</f>
        <v>101.96</v>
      </c>
      <c r="S16" s="36">
        <f t="shared" si="1"/>
        <v>101.06000000000002</v>
      </c>
      <c r="T16" s="36">
        <f t="shared" si="1"/>
        <v>101.09</v>
      </c>
      <c r="U16" s="36">
        <f t="shared" si="1"/>
        <v>103.71000000000001</v>
      </c>
      <c r="V16" s="36">
        <f t="shared" si="1"/>
        <v>103.33000000000001</v>
      </c>
      <c r="W16" s="36">
        <f t="shared" si="1"/>
        <v>103.88000000000001</v>
      </c>
      <c r="X16" s="36">
        <f t="shared" si="1"/>
        <v>103.87000000000002</v>
      </c>
      <c r="Y16" s="36">
        <f t="shared" si="1"/>
        <v>105.75999999999999</v>
      </c>
      <c r="Z16" s="36">
        <f t="shared" si="1"/>
        <v>102.52000000000001</v>
      </c>
      <c r="AA16" s="36">
        <f t="shared" si="1"/>
        <v>102.13</v>
      </c>
      <c r="AB16" s="36">
        <f t="shared" si="1"/>
        <v>101.15</v>
      </c>
      <c r="AC16" s="36">
        <f t="shared" si="1"/>
        <v>99.97999999999999</v>
      </c>
      <c r="AD16" s="36">
        <f t="shared" si="1"/>
        <v>100.75999999999999</v>
      </c>
      <c r="AE16" s="36">
        <f t="shared" si="1"/>
        <v>102.69000000000001</v>
      </c>
      <c r="AF16" s="36">
        <f t="shared" si="1"/>
        <v>100.52000000000001</v>
      </c>
      <c r="AG16" s="36">
        <f t="shared" si="1"/>
        <v>100.38</v>
      </c>
      <c r="AH16" s="36">
        <f t="shared" ref="AH16:AW16" si="2">SUM(AH5:AH15)</f>
        <v>101.07</v>
      </c>
      <c r="AI16" s="36">
        <f t="shared" si="2"/>
        <v>100.81</v>
      </c>
      <c r="AJ16" s="36">
        <f t="shared" si="2"/>
        <v>100.86</v>
      </c>
      <c r="AK16" s="36">
        <f t="shared" si="2"/>
        <v>101.50999999999999</v>
      </c>
      <c r="AL16" s="36">
        <f t="shared" si="2"/>
        <v>101.15</v>
      </c>
      <c r="AM16" s="36">
        <f t="shared" si="2"/>
        <v>102.4</v>
      </c>
      <c r="AN16" s="36">
        <f t="shared" si="2"/>
        <v>102.00999999999999</v>
      </c>
      <c r="AO16" s="36">
        <f t="shared" si="2"/>
        <v>102.17999999999999</v>
      </c>
      <c r="AP16" s="36">
        <f t="shared" si="2"/>
        <v>99.910000000000011</v>
      </c>
      <c r="AQ16" s="36">
        <f t="shared" si="2"/>
        <v>101.38</v>
      </c>
      <c r="AR16" s="36">
        <f t="shared" si="2"/>
        <v>102.46000000000001</v>
      </c>
      <c r="AS16" s="36">
        <f t="shared" si="2"/>
        <v>100.5</v>
      </c>
      <c r="AT16" s="36">
        <f t="shared" si="2"/>
        <v>102.33000000000001</v>
      </c>
      <c r="AU16" s="36">
        <f t="shared" si="2"/>
        <v>101.78999999999999</v>
      </c>
      <c r="AV16" s="36">
        <f t="shared" si="2"/>
        <v>102.57</v>
      </c>
      <c r="AW16" s="36">
        <f t="shared" si="2"/>
        <v>102.46000000000001</v>
      </c>
      <c r="AX16" s="36">
        <f t="shared" ref="AX16:BM16" si="3">SUM(AX5:AX15)</f>
        <v>101.11</v>
      </c>
      <c r="AY16" s="36">
        <f t="shared" si="3"/>
        <v>100.30000000000001</v>
      </c>
      <c r="AZ16" s="36">
        <f t="shared" si="3"/>
        <v>100.86</v>
      </c>
      <c r="BA16" s="36">
        <f t="shared" si="3"/>
        <v>102.02000000000001</v>
      </c>
      <c r="BB16" s="36">
        <f t="shared" si="3"/>
        <v>101.03</v>
      </c>
      <c r="BC16" s="36">
        <f t="shared" si="3"/>
        <v>101.94</v>
      </c>
      <c r="BD16" s="36">
        <f t="shared" si="3"/>
        <v>101.2</v>
      </c>
      <c r="BE16" s="36">
        <f t="shared" si="3"/>
        <v>101.87</v>
      </c>
      <c r="BF16" s="36">
        <f t="shared" si="3"/>
        <v>103.05999999999999</v>
      </c>
      <c r="BG16" s="36">
        <f t="shared" si="3"/>
        <v>102.82</v>
      </c>
      <c r="BH16" s="36">
        <f t="shared" si="3"/>
        <v>102.49000000000001</v>
      </c>
      <c r="BI16" s="36">
        <f t="shared" si="3"/>
        <v>102.75</v>
      </c>
      <c r="BJ16" s="36">
        <f t="shared" si="3"/>
        <v>100.09</v>
      </c>
      <c r="BK16" s="36">
        <f t="shared" si="3"/>
        <v>101.59</v>
      </c>
      <c r="BL16" s="36">
        <f t="shared" si="3"/>
        <v>99.85</v>
      </c>
      <c r="BM16" s="36">
        <f t="shared" si="3"/>
        <v>100.75999999999999</v>
      </c>
      <c r="BN16" s="36">
        <f>SUM(BN5:BN15)</f>
        <v>100.45</v>
      </c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</row>
    <row r="17" spans="1:88" hidden="1">
      <c r="A17" s="22" t="s">
        <v>206</v>
      </c>
      <c r="B17" s="36">
        <f t="shared" ref="B17:Q17" si="4">12/((B6/56.08)+(B7/79.9*2)+(B10/71.85)+(B9/70.94)+(B8/152.02*3)+(B13/60.09*2)+(B14/101.94*3)+(B15/40.32)+(B11/74.71)+(B5/94.2)+(B12/61.982))</f>
        <v>4.7690176064453915</v>
      </c>
      <c r="C17" s="36">
        <f t="shared" si="4"/>
        <v>4.5555680600273503</v>
      </c>
      <c r="D17" s="36">
        <f t="shared" si="4"/>
        <v>4.5764506450461191</v>
      </c>
      <c r="E17" s="36">
        <f t="shared" si="4"/>
        <v>4.5651119255470816</v>
      </c>
      <c r="F17" s="36">
        <f t="shared" si="4"/>
        <v>4.5652062388279493</v>
      </c>
      <c r="G17" s="36">
        <f t="shared" si="4"/>
        <v>4.6893703950886021</v>
      </c>
      <c r="H17" s="36">
        <f t="shared" si="4"/>
        <v>4.6492801142875866</v>
      </c>
      <c r="I17" s="36">
        <f t="shared" si="4"/>
        <v>4.5984258348945533</v>
      </c>
      <c r="J17" s="36">
        <f t="shared" si="4"/>
        <v>4.5932500251603905</v>
      </c>
      <c r="K17" s="36">
        <f t="shared" si="4"/>
        <v>4.5731197039581231</v>
      </c>
      <c r="L17" s="36">
        <f t="shared" si="4"/>
        <v>4.573698536674434</v>
      </c>
      <c r="M17" s="36">
        <f t="shared" si="4"/>
        <v>4.5955334157453933</v>
      </c>
      <c r="N17" s="36">
        <f t="shared" si="4"/>
        <v>4.6066935124872366</v>
      </c>
      <c r="O17" s="36">
        <f t="shared" si="4"/>
        <v>4.5386572860625582</v>
      </c>
      <c r="P17" s="36">
        <f t="shared" si="4"/>
        <v>4.5178073590092058</v>
      </c>
      <c r="Q17" s="36">
        <f t="shared" si="4"/>
        <v>4.5097658018319828</v>
      </c>
      <c r="R17" s="36">
        <f t="shared" ref="R17:AG17" si="5">12/((R6/56.08)+(R7/79.9*2)+(R10/71.85)+(R9/70.94)+(R8/152.02*3)+(R13/60.09*2)+(R14/101.94*3)+(R15/40.32)+(R11/74.71)+(R5/94.2)+(R12/61.982))</f>
        <v>4.4960802430547595</v>
      </c>
      <c r="S17" s="36">
        <f t="shared" si="5"/>
        <v>4.5677296167100234</v>
      </c>
      <c r="T17" s="36">
        <f t="shared" si="5"/>
        <v>4.5874785502204709</v>
      </c>
      <c r="U17" s="36">
        <f t="shared" si="5"/>
        <v>4.3765723957447653</v>
      </c>
      <c r="V17" s="36">
        <f t="shared" si="5"/>
        <v>4.4165733227522788</v>
      </c>
      <c r="W17" s="36">
        <f t="shared" si="5"/>
        <v>4.3702591902086541</v>
      </c>
      <c r="X17" s="36">
        <f t="shared" si="5"/>
        <v>4.3288898517575101</v>
      </c>
      <c r="Y17" s="36">
        <f t="shared" si="5"/>
        <v>4.2622026299513323</v>
      </c>
      <c r="Z17" s="36">
        <f t="shared" si="5"/>
        <v>4.5879869866481551</v>
      </c>
      <c r="AA17" s="36">
        <f t="shared" si="5"/>
        <v>4.5979728039216887</v>
      </c>
      <c r="AB17" s="36">
        <f t="shared" si="5"/>
        <v>4.6621518467756102</v>
      </c>
      <c r="AC17" s="36">
        <f t="shared" si="5"/>
        <v>4.6867031909260612</v>
      </c>
      <c r="AD17" s="36">
        <f t="shared" si="5"/>
        <v>4.6444145938934653</v>
      </c>
      <c r="AE17" s="36">
        <f t="shared" si="5"/>
        <v>4.5733488240619957</v>
      </c>
      <c r="AF17" s="36">
        <f t="shared" si="5"/>
        <v>4.6760207246031564</v>
      </c>
      <c r="AG17" s="36">
        <f t="shared" si="5"/>
        <v>4.6706498728388324</v>
      </c>
      <c r="AH17" s="36">
        <f t="shared" ref="AH17:AW17" si="6">12/((AH6/56.08)+(AH7/79.9*2)+(AH10/71.85)+(AH9/70.94)+(AH8/152.02*3)+(AH13/60.09*2)+(AH14/101.94*3)+(AH15/40.32)+(AH11/74.71)+(AH5/94.2)+(AH12/61.982))</f>
        <v>4.6348327232475093</v>
      </c>
      <c r="AI17" s="36">
        <f t="shared" si="6"/>
        <v>4.5399930047451384</v>
      </c>
      <c r="AJ17" s="36">
        <f t="shared" si="6"/>
        <v>4.5357069273360962</v>
      </c>
      <c r="AK17" s="36">
        <f t="shared" si="6"/>
        <v>4.5303307469893328</v>
      </c>
      <c r="AL17" s="36">
        <f t="shared" si="6"/>
        <v>4.5377790344574604</v>
      </c>
      <c r="AM17" s="36">
        <f t="shared" si="6"/>
        <v>4.477255787213827</v>
      </c>
      <c r="AN17" s="36">
        <f t="shared" si="6"/>
        <v>4.5492345428443706</v>
      </c>
      <c r="AO17" s="36">
        <f t="shared" si="6"/>
        <v>4.5209325548040766</v>
      </c>
      <c r="AP17" s="36">
        <f t="shared" si="6"/>
        <v>4.5663836623302139</v>
      </c>
      <c r="AQ17" s="36">
        <f t="shared" si="6"/>
        <v>4.5463498185723523</v>
      </c>
      <c r="AR17" s="36">
        <f t="shared" si="6"/>
        <v>4.4895219687756684</v>
      </c>
      <c r="AS17" s="36">
        <f t="shared" si="6"/>
        <v>4.5403071501328816</v>
      </c>
      <c r="AT17" s="36">
        <f t="shared" si="6"/>
        <v>4.5584665186763011</v>
      </c>
      <c r="AU17" s="36">
        <f t="shared" si="6"/>
        <v>4.5035381360880189</v>
      </c>
      <c r="AV17" s="36">
        <f t="shared" si="6"/>
        <v>4.5371293380261069</v>
      </c>
      <c r="AW17" s="36">
        <f t="shared" si="6"/>
        <v>4.4895219687756684</v>
      </c>
      <c r="AX17" s="36">
        <f t="shared" ref="AX17:BM17" si="7">12/((AX6/56.08)+(AX7/79.9*2)+(AX10/71.85)+(AX9/70.94)+(AX8/152.02*3)+(AX13/60.09*2)+(AX14/101.94*3)+(AX15/40.32)+(AX11/74.71)+(AX5/94.2)+(AX12/61.982))</f>
        <v>4.5461486456827069</v>
      </c>
      <c r="AY17" s="36">
        <f t="shared" si="7"/>
        <v>4.5504874206708656</v>
      </c>
      <c r="AZ17" s="36">
        <f t="shared" si="7"/>
        <v>4.5616378329472802</v>
      </c>
      <c r="BA17" s="36">
        <f t="shared" si="7"/>
        <v>4.5908208448362986</v>
      </c>
      <c r="BB17" s="36">
        <f t="shared" si="7"/>
        <v>4.615256214465651</v>
      </c>
      <c r="BC17" s="36">
        <f t="shared" si="7"/>
        <v>4.4161231782283181</v>
      </c>
      <c r="BD17" s="36">
        <f t="shared" si="7"/>
        <v>4.4584029135169372</v>
      </c>
      <c r="BE17" s="36">
        <f t="shared" si="7"/>
        <v>4.5526410193502098</v>
      </c>
      <c r="BF17" s="36">
        <f t="shared" si="7"/>
        <v>4.3760623408317976</v>
      </c>
      <c r="BG17" s="36">
        <f t="shared" si="7"/>
        <v>4.4024280697478533</v>
      </c>
      <c r="BH17" s="36">
        <f t="shared" si="7"/>
        <v>4.4358188128507807</v>
      </c>
      <c r="BI17" s="36">
        <f t="shared" si="7"/>
        <v>4.5275593083493284</v>
      </c>
      <c r="BJ17" s="36">
        <f t="shared" si="7"/>
        <v>4.6511863839662881</v>
      </c>
      <c r="BK17" s="36">
        <f t="shared" si="7"/>
        <v>4.6845755740078729</v>
      </c>
      <c r="BL17" s="36">
        <f t="shared" si="7"/>
        <v>4.6205951016145388</v>
      </c>
      <c r="BM17" s="36">
        <f t="shared" si="7"/>
        <v>4.7469657020670732</v>
      </c>
      <c r="BN17" s="36">
        <f>12/((BN6/56.08)+(BN7/79.9*2)+(BN10/71.85)+(BN9/70.94)+(BN8/152.02*3)+(BN13/60.09*2)+(BN14/101.94*3)+(BN15/40.32)+(BN11/74.71)+(BN5/94.2)+(BN12/61.982))</f>
        <v>4.7323658084078897</v>
      </c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</row>
    <row r="18" spans="1:88" hidden="1">
      <c r="A18" s="22" t="s">
        <v>207</v>
      </c>
      <c r="B18" s="36">
        <f t="shared" ref="B18:Q18" si="8">(B5/94.2*B17*2)+(B6/56.08*B17)+(B7/79.9*B17)+(B8/152.02*B17*2)+(B9/70.94*B17)+(B10/71.85*B17)+(B11/74.71*B17)+(B12/61.982*B17*2)+(B13/60.09*B17)+(B14/101.94*B17*2)+(B15/40.32*B17)</f>
        <v>8.0088697129739117</v>
      </c>
      <c r="C18" s="36">
        <f t="shared" si="8"/>
        <v>7.9998202519556321</v>
      </c>
      <c r="D18" s="36">
        <f t="shared" si="8"/>
        <v>7.9913456641473735</v>
      </c>
      <c r="E18" s="36">
        <f t="shared" si="8"/>
        <v>7.9803349221185496</v>
      </c>
      <c r="F18" s="36">
        <f t="shared" si="8"/>
        <v>7.9848435599871808</v>
      </c>
      <c r="G18" s="36">
        <f t="shared" si="8"/>
        <v>7.9860332193435593</v>
      </c>
      <c r="H18" s="36">
        <f t="shared" si="8"/>
        <v>7.9824510145507466</v>
      </c>
      <c r="I18" s="36">
        <f t="shared" si="8"/>
        <v>8.0414405846170958</v>
      </c>
      <c r="J18" s="36">
        <f t="shared" si="8"/>
        <v>8.0104301077407776</v>
      </c>
      <c r="K18" s="36">
        <f t="shared" si="8"/>
        <v>8.0063851314976624</v>
      </c>
      <c r="L18" s="36">
        <f t="shared" si="8"/>
        <v>7.9948736242344296</v>
      </c>
      <c r="M18" s="36">
        <f t="shared" si="8"/>
        <v>8.0107787912074677</v>
      </c>
      <c r="N18" s="36">
        <f t="shared" si="8"/>
        <v>7.9898458483699306</v>
      </c>
      <c r="O18" s="36">
        <f t="shared" si="8"/>
        <v>8.0004884616985983</v>
      </c>
      <c r="P18" s="36">
        <f t="shared" si="8"/>
        <v>7.980931847861843</v>
      </c>
      <c r="Q18" s="36">
        <f t="shared" si="8"/>
        <v>7.9820966056734513</v>
      </c>
      <c r="R18" s="36">
        <f t="shared" ref="R18:AG18" si="9">(R5/94.2*R17*2)+(R6/56.08*R17)+(R7/79.9*R17)+(R8/152.02*R17*2)+(R9/70.94*R17)+(R10/71.85*R17)+(R11/74.71*R17)+(R12/61.982*R17*2)+(R13/60.09*R17)+(R14/101.94*R17*2)+(R15/40.32*R17)</f>
        <v>7.9935737394464645</v>
      </c>
      <c r="S18" s="36">
        <f t="shared" si="9"/>
        <v>8.0033149588802317</v>
      </c>
      <c r="T18" s="36">
        <f t="shared" si="9"/>
        <v>7.9996348891837048</v>
      </c>
      <c r="U18" s="36">
        <f t="shared" si="9"/>
        <v>8.0085761519741219</v>
      </c>
      <c r="V18" s="36">
        <f t="shared" si="9"/>
        <v>8.0140616581216229</v>
      </c>
      <c r="W18" s="36">
        <f t="shared" si="9"/>
        <v>8.0345407727209874</v>
      </c>
      <c r="X18" s="36">
        <f t="shared" si="9"/>
        <v>8.0259834407496715</v>
      </c>
      <c r="Y18" s="36">
        <f t="shared" si="9"/>
        <v>8.0179061030283876</v>
      </c>
      <c r="Z18" s="36">
        <f t="shared" si="9"/>
        <v>7.9901429370057606</v>
      </c>
      <c r="AA18" s="36">
        <f t="shared" si="9"/>
        <v>8.0060694424906309</v>
      </c>
      <c r="AB18" s="36">
        <f t="shared" si="9"/>
        <v>8.026694038945017</v>
      </c>
      <c r="AC18" s="36">
        <f t="shared" si="9"/>
        <v>8.0103926688172233</v>
      </c>
      <c r="AD18" s="36">
        <f t="shared" si="9"/>
        <v>7.991026344605447</v>
      </c>
      <c r="AE18" s="36">
        <f t="shared" si="9"/>
        <v>8.0207754130291899</v>
      </c>
      <c r="AF18" s="36">
        <f t="shared" si="9"/>
        <v>8.0079213568979526</v>
      </c>
      <c r="AG18" s="36">
        <f t="shared" si="9"/>
        <v>7.9903605426440434</v>
      </c>
      <c r="AH18" s="36">
        <f t="shared" ref="AH18:AW18" si="10">(AH5/94.2*AH17*2)+(AH6/56.08*AH17)+(AH7/79.9*AH17)+(AH8/152.02*AH17*2)+(AH9/70.94*AH17)+(AH10/71.85*AH17)+(AH11/74.71*AH17)+(AH12/61.982*AH17*2)+(AH13/60.09*AH17)+(AH14/101.94*AH17*2)+(AH15/40.32*AH17)</f>
        <v>7.9904624618652687</v>
      </c>
      <c r="AI18" s="36">
        <f t="shared" si="10"/>
        <v>8.0029835030422429</v>
      </c>
      <c r="AJ18" s="36">
        <f t="shared" si="10"/>
        <v>7.9781265950144382</v>
      </c>
      <c r="AK18" s="36">
        <f t="shared" si="10"/>
        <v>8.0179944192078949</v>
      </c>
      <c r="AL18" s="36">
        <f t="shared" si="10"/>
        <v>7.9740390205722305</v>
      </c>
      <c r="AM18" s="36">
        <f t="shared" si="10"/>
        <v>8.0058133878174402</v>
      </c>
      <c r="AN18" s="36">
        <f t="shared" si="10"/>
        <v>8.0052037899754946</v>
      </c>
      <c r="AO18" s="36">
        <f t="shared" si="10"/>
        <v>7.9932467552901709</v>
      </c>
      <c r="AP18" s="36">
        <f t="shared" si="10"/>
        <v>7.9991074270162219</v>
      </c>
      <c r="AQ18" s="36">
        <f t="shared" si="10"/>
        <v>8.0016936231339493</v>
      </c>
      <c r="AR18" s="36">
        <f t="shared" si="10"/>
        <v>8.0000886004006446</v>
      </c>
      <c r="AS18" s="36">
        <f t="shared" si="10"/>
        <v>7.9647889966051926</v>
      </c>
      <c r="AT18" s="36">
        <f t="shared" si="10"/>
        <v>7.9867469051048161</v>
      </c>
      <c r="AU18" s="36">
        <f t="shared" si="10"/>
        <v>7.9749724699877049</v>
      </c>
      <c r="AV18" s="36">
        <f t="shared" si="10"/>
        <v>8.0010009016423194</v>
      </c>
      <c r="AW18" s="36">
        <f t="shared" si="10"/>
        <v>8.0000886004006446</v>
      </c>
      <c r="AX18" s="36">
        <f t="shared" ref="AX18:BM18" si="11">(AX5/94.2*AX17*2)+(AX6/56.08*AX17)+(AX7/79.9*AX17)+(AX8/152.02*AX17*2)+(AX9/70.94*AX17)+(AX10/71.85*AX17)+(AX11/74.71*AX17)+(AX12/61.982*AX17*2)+(AX13/60.09*AX17)+(AX14/101.94*AX17*2)+(AX15/40.32*AX17)</f>
        <v>8.0008409802755729</v>
      </c>
      <c r="AY18" s="36">
        <f t="shared" si="11"/>
        <v>7.9817063102163743</v>
      </c>
      <c r="AZ18" s="36">
        <f t="shared" si="11"/>
        <v>7.9904755149914797</v>
      </c>
      <c r="BA18" s="36">
        <f t="shared" si="11"/>
        <v>7.999772904031305</v>
      </c>
      <c r="BB18" s="36">
        <f t="shared" si="11"/>
        <v>7.9757636626978403</v>
      </c>
      <c r="BC18" s="36">
        <f t="shared" si="11"/>
        <v>7.9823711122175158</v>
      </c>
      <c r="BD18" s="36">
        <f t="shared" si="11"/>
        <v>7.9827441407435611</v>
      </c>
      <c r="BE18" s="36">
        <f t="shared" si="11"/>
        <v>7.9823226294348686</v>
      </c>
      <c r="BF18" s="36">
        <f t="shared" si="11"/>
        <v>7.9979656130460954</v>
      </c>
      <c r="BG18" s="36">
        <f t="shared" si="11"/>
        <v>8.0082650755359452</v>
      </c>
      <c r="BH18" s="36">
        <f t="shared" si="11"/>
        <v>7.9780617521286139</v>
      </c>
      <c r="BI18" s="36">
        <f t="shared" si="11"/>
        <v>7.980480176649885</v>
      </c>
      <c r="BJ18" s="36">
        <f t="shared" si="11"/>
        <v>7.9963897642742827</v>
      </c>
      <c r="BK18" s="36">
        <f t="shared" si="11"/>
        <v>7.9891354786034956</v>
      </c>
      <c r="BL18" s="36">
        <f t="shared" si="11"/>
        <v>8.0318972338643739</v>
      </c>
      <c r="BM18" s="36">
        <f t="shared" si="11"/>
        <v>8.0043554277002134</v>
      </c>
      <c r="BN18" s="36">
        <f>(BN5/94.2*BN17*2)+(BN6/56.08*BN17)+(BN7/79.9*BN17)+(BN8/152.02*BN17*2)+(BN9/70.94*BN17)+(BN10/71.85*BN17)+(BN11/74.71*BN17)+(BN12/61.982*BN17*2)+(BN13/60.09*BN17)+(BN14/101.94*BN17*2)+(BN15/40.32*BN17)</f>
        <v>8.0212231970149901</v>
      </c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</row>
    <row r="19" spans="1:88">
      <c r="A19" s="22" t="s">
        <v>301</v>
      </c>
      <c r="B19" s="36"/>
      <c r="C19" s="36"/>
      <c r="O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</row>
    <row r="20" spans="1:88" s="15" customFormat="1">
      <c r="A20" s="15" t="s">
        <v>18</v>
      </c>
      <c r="B20" s="49">
        <f t="shared" ref="B20:Q20" si="12">(B13/60.09*B17)*8/B18</f>
        <v>2.9872247570984189</v>
      </c>
      <c r="C20" s="49">
        <f t="shared" si="12"/>
        <v>2.9946577060371182</v>
      </c>
      <c r="D20" s="49">
        <f t="shared" si="12"/>
        <v>3.0252990647132521</v>
      </c>
      <c r="E20" s="49">
        <f t="shared" si="12"/>
        <v>3.0173977742090021</v>
      </c>
      <c r="F20" s="49">
        <f t="shared" si="12"/>
        <v>3.0149951348543502</v>
      </c>
      <c r="G20" s="49">
        <f t="shared" si="12"/>
        <v>3.022268589957716</v>
      </c>
      <c r="H20" s="49">
        <f t="shared" si="12"/>
        <v>3.0171608545965141</v>
      </c>
      <c r="I20" s="49">
        <f t="shared" si="12"/>
        <v>2.9470417149583428</v>
      </c>
      <c r="J20" s="49">
        <f t="shared" si="12"/>
        <v>2.9856565610561066</v>
      </c>
      <c r="K20" s="49">
        <f t="shared" si="12"/>
        <v>2.983959153778208</v>
      </c>
      <c r="L20" s="49">
        <f t="shared" si="12"/>
        <v>3.0190990494581347</v>
      </c>
      <c r="M20" s="49">
        <f t="shared" si="12"/>
        <v>2.988538258271261</v>
      </c>
      <c r="N20" s="49">
        <f t="shared" si="12"/>
        <v>3.0243700152505597</v>
      </c>
      <c r="O20" s="49">
        <f t="shared" si="12"/>
        <v>3.0036841383917188</v>
      </c>
      <c r="P20" s="49">
        <f t="shared" si="12"/>
        <v>3.0220821234175954</v>
      </c>
      <c r="Q20" s="49">
        <f t="shared" si="12"/>
        <v>3.0027233758045329</v>
      </c>
      <c r="R20" s="49">
        <f t="shared" ref="R20:AG20" si="13">(R13/60.09*R17)*8/R18</f>
        <v>3.0065359459577885</v>
      </c>
      <c r="S20" s="49">
        <f t="shared" si="13"/>
        <v>2.9899436239217208</v>
      </c>
      <c r="T20" s="49">
        <f t="shared" si="13"/>
        <v>2.9874559591399836</v>
      </c>
      <c r="U20" s="49">
        <f t="shared" si="13"/>
        <v>2.9742500486623142</v>
      </c>
      <c r="V20" s="49">
        <f t="shared" si="13"/>
        <v>2.9766348088128627</v>
      </c>
      <c r="W20" s="49">
        <f t="shared" si="13"/>
        <v>2.930671379784795</v>
      </c>
      <c r="X20" s="49">
        <f t="shared" si="13"/>
        <v>2.9505447120363786</v>
      </c>
      <c r="Y20" s="49">
        <f t="shared" si="13"/>
        <v>2.9660507015856035</v>
      </c>
      <c r="Z20" s="49">
        <f t="shared" si="13"/>
        <v>3.0058611892835843</v>
      </c>
      <c r="AA20" s="49">
        <f t="shared" si="13"/>
        <v>2.9827082725171179</v>
      </c>
      <c r="AB20" s="49">
        <f t="shared" si="13"/>
        <v>2.9191367772458041</v>
      </c>
      <c r="AC20" s="49">
        <f t="shared" si="13"/>
        <v>2.952165072758433</v>
      </c>
      <c r="AD20" s="49">
        <f t="shared" si="13"/>
        <v>2.982912980182006</v>
      </c>
      <c r="AE20" s="49">
        <f t="shared" si="13"/>
        <v>2.9514267621397297</v>
      </c>
      <c r="AF20" s="49">
        <f t="shared" si="13"/>
        <v>2.9673349430830909</v>
      </c>
      <c r="AG20" s="49">
        <f t="shared" si="13"/>
        <v>3.0015691851132376</v>
      </c>
      <c r="AH20" s="49">
        <f t="shared" ref="AH20:AW20" si="14">(AH13/60.09*AH17)*8/AH18</f>
        <v>2.9900970229050032</v>
      </c>
      <c r="AI20" s="49">
        <f t="shared" si="14"/>
        <v>2.9749318808071812</v>
      </c>
      <c r="AJ20" s="49">
        <f t="shared" si="14"/>
        <v>3.0275535678301426</v>
      </c>
      <c r="AK20" s="49">
        <f t="shared" si="14"/>
        <v>2.9878664586967196</v>
      </c>
      <c r="AL20" s="49">
        <f t="shared" si="14"/>
        <v>3.0251859930065068</v>
      </c>
      <c r="AM20" s="49">
        <f t="shared" si="14"/>
        <v>2.9782024607756963</v>
      </c>
      <c r="AN20" s="49">
        <f t="shared" si="14"/>
        <v>2.9567068934638678</v>
      </c>
      <c r="AO20" s="49">
        <f t="shared" si="14"/>
        <v>2.9773456481265916</v>
      </c>
      <c r="AP20" s="49">
        <f t="shared" si="14"/>
        <v>2.967834571185469</v>
      </c>
      <c r="AQ20" s="49">
        <f t="shared" si="14"/>
        <v>2.9682311089990177</v>
      </c>
      <c r="AR20" s="49">
        <f t="shared" si="14"/>
        <v>2.9922343737428836</v>
      </c>
      <c r="AS20" s="49">
        <f t="shared" si="14"/>
        <v>3.036458103085748</v>
      </c>
      <c r="AT20" s="49">
        <f t="shared" si="14"/>
        <v>2.9984285958563368</v>
      </c>
      <c r="AU20" s="49">
        <f t="shared" si="14"/>
        <v>3.0373427323888587</v>
      </c>
      <c r="AV20" s="49">
        <f t="shared" si="14"/>
        <v>2.997950862890546</v>
      </c>
      <c r="AW20" s="49">
        <f t="shared" si="14"/>
        <v>2.9922343737428836</v>
      </c>
      <c r="AX20" s="49">
        <f t="shared" ref="AX20:BM20" si="15">(AX13/60.09*AX17)*8/AX18</f>
        <v>2.9918668642530322</v>
      </c>
      <c r="AY20" s="49">
        <f t="shared" si="15"/>
        <v>3.0208769086218754</v>
      </c>
      <c r="AZ20" s="49">
        <f t="shared" si="15"/>
        <v>2.9968343425452333</v>
      </c>
      <c r="BA20" s="49">
        <f t="shared" si="15"/>
        <v>2.9926369987752035</v>
      </c>
      <c r="BB20" s="49">
        <f t="shared" si="15"/>
        <v>3.0153112187313891</v>
      </c>
      <c r="BC20" s="49">
        <f t="shared" si="15"/>
        <v>3.0301305081230354</v>
      </c>
      <c r="BD20" s="49">
        <f t="shared" si="15"/>
        <v>3.0195892921416512</v>
      </c>
      <c r="BE20" s="49">
        <f t="shared" si="15"/>
        <v>3.0167580340366982</v>
      </c>
      <c r="BF20" s="49">
        <f t="shared" si="15"/>
        <v>2.9851331322489649</v>
      </c>
      <c r="BG20" s="49">
        <f t="shared" si="15"/>
        <v>2.9838866631820316</v>
      </c>
      <c r="BH20" s="49">
        <f t="shared" si="15"/>
        <v>3.023081957719596</v>
      </c>
      <c r="BI20" s="49">
        <f t="shared" si="15"/>
        <v>3.0046070825101308</v>
      </c>
      <c r="BJ20" s="49">
        <f t="shared" si="15"/>
        <v>2.9868073427945521</v>
      </c>
      <c r="BK20" s="49">
        <f t="shared" si="15"/>
        <v>3.024251209745588</v>
      </c>
      <c r="BL20" s="49">
        <f t="shared" si="15"/>
        <v>2.9525137960215524</v>
      </c>
      <c r="BM20" s="49">
        <f t="shared" si="15"/>
        <v>3.0026439513160312</v>
      </c>
      <c r="BN20" s="49">
        <f>(BN13/60.09*BN17)*8/BN18</f>
        <v>2.9659066338261693</v>
      </c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</row>
    <row r="21" spans="1:88" s="15" customFormat="1">
      <c r="A21" s="92" t="s">
        <v>122</v>
      </c>
      <c r="B21" s="49">
        <f t="shared" ref="B21:Q21" si="16">IF(3-B20&gt;0,IF(((B14/101.94*B17*2)*8/B18)&gt;3-B20,3-B20,((B14/101.94*B17*2)*8/B18)),0)</f>
        <v>1.2775242901581052E-2</v>
      </c>
      <c r="C21" s="49">
        <f t="shared" si="16"/>
        <v>5.3422939628817723E-3</v>
      </c>
      <c r="D21" s="49">
        <f t="shared" si="16"/>
        <v>0</v>
      </c>
      <c r="E21" s="49">
        <f t="shared" si="16"/>
        <v>0</v>
      </c>
      <c r="F21" s="49">
        <f t="shared" si="16"/>
        <v>0</v>
      </c>
      <c r="G21" s="49">
        <f t="shared" si="16"/>
        <v>0</v>
      </c>
      <c r="H21" s="49">
        <f t="shared" si="16"/>
        <v>0</v>
      </c>
      <c r="I21" s="49">
        <f t="shared" si="16"/>
        <v>5.2958285041657227E-2</v>
      </c>
      <c r="J21" s="49">
        <f t="shared" si="16"/>
        <v>1.434343894389345E-2</v>
      </c>
      <c r="K21" s="49">
        <f t="shared" si="16"/>
        <v>1.6040846221792027E-2</v>
      </c>
      <c r="L21" s="49">
        <f t="shared" si="16"/>
        <v>0</v>
      </c>
      <c r="M21" s="49">
        <f t="shared" si="16"/>
        <v>1.1461741728739039E-2</v>
      </c>
      <c r="N21" s="49">
        <f t="shared" si="16"/>
        <v>0</v>
      </c>
      <c r="O21" s="49">
        <f t="shared" si="16"/>
        <v>0</v>
      </c>
      <c r="P21" s="49">
        <f t="shared" si="16"/>
        <v>0</v>
      </c>
      <c r="Q21" s="49">
        <f t="shared" si="16"/>
        <v>0</v>
      </c>
      <c r="R21" s="49">
        <f t="shared" ref="R21:AG21" si="17">IF(3-R20&gt;0,IF(((R14/101.94*R17*2)*8/R18)&gt;3-R20,3-R20,((R14/101.94*R17*2)*8/R18)),0)</f>
        <v>0</v>
      </c>
      <c r="S21" s="49">
        <f t="shared" si="17"/>
        <v>1.005637607827925E-2</v>
      </c>
      <c r="T21" s="49">
        <f t="shared" si="17"/>
        <v>1.254404086001637E-2</v>
      </c>
      <c r="U21" s="49">
        <f t="shared" si="17"/>
        <v>2.5749951337685761E-2</v>
      </c>
      <c r="V21" s="49">
        <f t="shared" si="17"/>
        <v>2.3365191187137313E-2</v>
      </c>
      <c r="W21" s="49">
        <f t="shared" si="17"/>
        <v>6.9328620215205028E-2</v>
      </c>
      <c r="X21" s="49">
        <f t="shared" si="17"/>
        <v>4.9455287963621419E-2</v>
      </c>
      <c r="Y21" s="49">
        <f t="shared" si="17"/>
        <v>3.3949298414396534E-2</v>
      </c>
      <c r="Z21" s="49">
        <f t="shared" si="17"/>
        <v>0</v>
      </c>
      <c r="AA21" s="49">
        <f t="shared" si="17"/>
        <v>1.7291727482882102E-2</v>
      </c>
      <c r="AB21" s="49">
        <f t="shared" si="17"/>
        <v>8.0863222754195885E-2</v>
      </c>
      <c r="AC21" s="49">
        <f t="shared" si="17"/>
        <v>4.7834927241567016E-2</v>
      </c>
      <c r="AD21" s="49">
        <f t="shared" si="17"/>
        <v>1.7087019817993987E-2</v>
      </c>
      <c r="AE21" s="49">
        <f t="shared" si="17"/>
        <v>4.8573237860270346E-2</v>
      </c>
      <c r="AF21" s="49">
        <f t="shared" si="17"/>
        <v>3.266505691690913E-2</v>
      </c>
      <c r="AG21" s="49">
        <f t="shared" si="17"/>
        <v>0</v>
      </c>
      <c r="AH21" s="49">
        <f t="shared" ref="AH21:AW21" si="18">IF(3-AH20&gt;0,IF(((AH14/101.94*AH17*2)*8/AH18)&gt;3-AH20,3-AH20,((AH14/101.94*AH17*2)*8/AH18)),0)</f>
        <v>9.9029770949967677E-3</v>
      </c>
      <c r="AI21" s="49">
        <f t="shared" si="18"/>
        <v>2.5068119192818816E-2</v>
      </c>
      <c r="AJ21" s="49">
        <f t="shared" si="18"/>
        <v>0</v>
      </c>
      <c r="AK21" s="49">
        <f t="shared" si="18"/>
        <v>1.2133541303280371E-2</v>
      </c>
      <c r="AL21" s="49">
        <f t="shared" si="18"/>
        <v>0</v>
      </c>
      <c r="AM21" s="49">
        <f t="shared" si="18"/>
        <v>2.1797539224303719E-2</v>
      </c>
      <c r="AN21" s="49">
        <f t="shared" si="18"/>
        <v>4.3293106536132164E-2</v>
      </c>
      <c r="AO21" s="49">
        <f t="shared" si="18"/>
        <v>2.2654351873408363E-2</v>
      </c>
      <c r="AP21" s="49">
        <f t="shared" si="18"/>
        <v>3.2165428814530994E-2</v>
      </c>
      <c r="AQ21" s="49">
        <f t="shared" si="18"/>
        <v>3.1768891000982347E-2</v>
      </c>
      <c r="AR21" s="49">
        <f t="shared" si="18"/>
        <v>7.7656262571164092E-3</v>
      </c>
      <c r="AS21" s="49">
        <f t="shared" si="18"/>
        <v>0</v>
      </c>
      <c r="AT21" s="49">
        <f t="shared" si="18"/>
        <v>1.5714041436631909E-3</v>
      </c>
      <c r="AU21" s="49">
        <f t="shared" si="18"/>
        <v>0</v>
      </c>
      <c r="AV21" s="49">
        <f t="shared" si="18"/>
        <v>2.0491371094539801E-3</v>
      </c>
      <c r="AW21" s="49">
        <f t="shared" si="18"/>
        <v>7.7656262571164092E-3</v>
      </c>
      <c r="AX21" s="49">
        <f t="shared" ref="AX21:BM21" si="19">IF(3-AX20&gt;0,IF(((AX14/101.94*AX17*2)*8/AX18)&gt;3-AX20,3-AX20,((AX14/101.94*AX17*2)*8/AX18)),0)</f>
        <v>8.1331357469678345E-3</v>
      </c>
      <c r="AY21" s="49">
        <f t="shared" si="19"/>
        <v>0</v>
      </c>
      <c r="AZ21" s="49">
        <f t="shared" si="19"/>
        <v>3.1656574547667127E-3</v>
      </c>
      <c r="BA21" s="49">
        <f t="shared" si="19"/>
        <v>7.3630012247964949E-3</v>
      </c>
      <c r="BB21" s="49">
        <f t="shared" si="19"/>
        <v>0</v>
      </c>
      <c r="BC21" s="49">
        <f t="shared" si="19"/>
        <v>0</v>
      </c>
      <c r="BD21" s="49">
        <f t="shared" si="19"/>
        <v>0</v>
      </c>
      <c r="BE21" s="49">
        <f t="shared" si="19"/>
        <v>0</v>
      </c>
      <c r="BF21" s="49">
        <f t="shared" si="19"/>
        <v>1.4866867751035073E-2</v>
      </c>
      <c r="BG21" s="49">
        <f t="shared" si="19"/>
        <v>1.6113336817968449E-2</v>
      </c>
      <c r="BH21" s="49">
        <f t="shared" si="19"/>
        <v>0</v>
      </c>
      <c r="BI21" s="49">
        <f t="shared" si="19"/>
        <v>0</v>
      </c>
      <c r="BJ21" s="49">
        <f t="shared" si="19"/>
        <v>1.3192657205447933E-2</v>
      </c>
      <c r="BK21" s="49">
        <f t="shared" si="19"/>
        <v>0</v>
      </c>
      <c r="BL21" s="49">
        <f t="shared" si="19"/>
        <v>4.7486203978447605E-2</v>
      </c>
      <c r="BM21" s="49">
        <f t="shared" si="19"/>
        <v>0</v>
      </c>
      <c r="BN21" s="49">
        <f>IF(3-BN20&gt;0,IF(((BN14/101.94*BN17*2)*8/BN18)&gt;3-BN20,3-BN20,((BN14/101.94*BN17*2)*8/BN18)),0)</f>
        <v>3.4093366173830741E-2</v>
      </c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</row>
    <row r="22" spans="1:88" s="15" customFormat="1">
      <c r="A22" s="92" t="s">
        <v>234</v>
      </c>
      <c r="B22" s="49">
        <f t="shared" ref="B22:Q22" si="20">((B14/101.94*B17*2)*8/B18)-B21</f>
        <v>1.9775822524565099</v>
      </c>
      <c r="C22" s="49">
        <f t="shared" si="20"/>
        <v>1.9976511157443992</v>
      </c>
      <c r="D22" s="49">
        <f t="shared" si="20"/>
        <v>1.9711644213714232</v>
      </c>
      <c r="E22" s="49">
        <f t="shared" si="20"/>
        <v>2.0058055730511923</v>
      </c>
      <c r="F22" s="49">
        <f t="shared" si="20"/>
        <v>1.9867671026797273</v>
      </c>
      <c r="G22" s="49">
        <f t="shared" si="20"/>
        <v>1.9962605788613024</v>
      </c>
      <c r="H22" s="49">
        <f t="shared" si="20"/>
        <v>2.0120781579163398</v>
      </c>
      <c r="I22" s="49">
        <f t="shared" si="20"/>
        <v>1.9332834190305075</v>
      </c>
      <c r="J22" s="49">
        <f t="shared" si="20"/>
        <v>1.9719432727323403</v>
      </c>
      <c r="K22" s="49">
        <f t="shared" si="20"/>
        <v>1.9804699486444286</v>
      </c>
      <c r="L22" s="49">
        <f t="shared" si="20"/>
        <v>1.97719088959766</v>
      </c>
      <c r="M22" s="49">
        <f t="shared" si="20"/>
        <v>1.9838295103072245</v>
      </c>
      <c r="N22" s="49">
        <f t="shared" si="20"/>
        <v>1.9782283883376399</v>
      </c>
      <c r="O22" s="49">
        <f t="shared" si="20"/>
        <v>1.9838161757140802</v>
      </c>
      <c r="P22" s="49">
        <f t="shared" si="20"/>
        <v>2.0115270735194275</v>
      </c>
      <c r="Q22" s="49">
        <f t="shared" si="20"/>
        <v>2.0404642090118497</v>
      </c>
      <c r="R22" s="49">
        <f t="shared" ref="R22:AG22" si="21">((R14/101.94*R17*2)*8/R18)-R21</f>
        <v>1.9942731968102319</v>
      </c>
      <c r="S22" s="49">
        <f t="shared" si="21"/>
        <v>1.9965114841283094</v>
      </c>
      <c r="T22" s="49">
        <f t="shared" si="21"/>
        <v>2.0054265952795602</v>
      </c>
      <c r="U22" s="49">
        <f t="shared" si="21"/>
        <v>1.9925052845755711</v>
      </c>
      <c r="V22" s="49">
        <f t="shared" si="21"/>
        <v>1.9626382768494581</v>
      </c>
      <c r="W22" s="49">
        <f t="shared" si="21"/>
        <v>1.9634069394602265</v>
      </c>
      <c r="X22" s="49">
        <f t="shared" si="21"/>
        <v>1.9577194547147014</v>
      </c>
      <c r="Y22" s="49">
        <f t="shared" si="21"/>
        <v>1.9810069253599787</v>
      </c>
      <c r="Z22" s="49">
        <f t="shared" si="21"/>
        <v>2.0142831034250546</v>
      </c>
      <c r="AA22" s="49">
        <f t="shared" si="21"/>
        <v>1.9964583383306547</v>
      </c>
      <c r="AB22" s="49">
        <f t="shared" si="21"/>
        <v>1.981274465162016</v>
      </c>
      <c r="AC22" s="49">
        <f t="shared" si="21"/>
        <v>1.9999948855521401</v>
      </c>
      <c r="AD22" s="49">
        <f t="shared" si="21"/>
        <v>2.0299543733016994</v>
      </c>
      <c r="AE22" s="49">
        <f t="shared" si="21"/>
        <v>1.9542997403468383</v>
      </c>
      <c r="AF22" s="49">
        <f t="shared" si="21"/>
        <v>2.0074616506912788</v>
      </c>
      <c r="AG22" s="49">
        <f t="shared" si="21"/>
        <v>2.0156556796417555</v>
      </c>
      <c r="AH22" s="49">
        <f t="shared" ref="AH22:AW22" si="22">((AH14/101.94*AH17*2)*8/AH18)-AH21</f>
        <v>1.988449195222092</v>
      </c>
      <c r="AI22" s="49">
        <f t="shared" si="22"/>
        <v>2.0165883547765033</v>
      </c>
      <c r="AJ22" s="49">
        <f t="shared" si="22"/>
        <v>2.0059297619519967</v>
      </c>
      <c r="AK22" s="49">
        <f t="shared" si="22"/>
        <v>1.9965324191964071</v>
      </c>
      <c r="AL22" s="49">
        <f t="shared" si="22"/>
        <v>2.0105544357608256</v>
      </c>
      <c r="AM22" s="49">
        <f t="shared" si="22"/>
        <v>1.9979561770906593</v>
      </c>
      <c r="AN22" s="49">
        <f t="shared" si="22"/>
        <v>2.0037358170887369</v>
      </c>
      <c r="AO22" s="49">
        <f t="shared" si="22"/>
        <v>2.0430898608326782</v>
      </c>
      <c r="AP22" s="49">
        <f t="shared" si="22"/>
        <v>2.0250421016240265</v>
      </c>
      <c r="AQ22" s="49">
        <f t="shared" si="22"/>
        <v>2.008616964849895</v>
      </c>
      <c r="AR22" s="49">
        <f t="shared" si="22"/>
        <v>2.0022354859907678</v>
      </c>
      <c r="AS22" s="49">
        <f t="shared" si="22"/>
        <v>2.0211686022440865</v>
      </c>
      <c r="AT22" s="49">
        <f t="shared" si="22"/>
        <v>2.0337477870565142</v>
      </c>
      <c r="AU22" s="49">
        <f t="shared" si="22"/>
        <v>2.000467797254692</v>
      </c>
      <c r="AV22" s="49">
        <f t="shared" si="22"/>
        <v>2.0050033959363849</v>
      </c>
      <c r="AW22" s="49">
        <f t="shared" si="22"/>
        <v>2.0022354859907678</v>
      </c>
      <c r="AX22" s="49">
        <f t="shared" ref="AX22:BM22" si="23">((AX14/101.94*AX17*2)*8/AX18)-AX21</f>
        <v>2.0109758844440928</v>
      </c>
      <c r="AY22" s="49">
        <f t="shared" si="23"/>
        <v>2.0088794362767031</v>
      </c>
      <c r="AZ22" s="49">
        <f t="shared" si="23"/>
        <v>2.0155944866693503</v>
      </c>
      <c r="BA22" s="49">
        <f t="shared" si="23"/>
        <v>2.0084401603050805</v>
      </c>
      <c r="BB22" s="49">
        <f t="shared" si="23"/>
        <v>2.0317247763635562</v>
      </c>
      <c r="BC22" s="49">
        <f t="shared" si="23"/>
        <v>1.9902114954248087</v>
      </c>
      <c r="BD22" s="49">
        <f t="shared" si="23"/>
        <v>2.0135547958249544</v>
      </c>
      <c r="BE22" s="49">
        <f t="shared" si="23"/>
        <v>2.0114653503361288</v>
      </c>
      <c r="BF22" s="49">
        <f t="shared" si="23"/>
        <v>2.0212883197224163</v>
      </c>
      <c r="BG22" s="49">
        <f t="shared" si="23"/>
        <v>1.9856704489580466</v>
      </c>
      <c r="BH22" s="49">
        <f t="shared" si="23"/>
        <v>2.0158756465362657</v>
      </c>
      <c r="BI22" s="49">
        <f t="shared" si="23"/>
        <v>2.041806269460261</v>
      </c>
      <c r="BJ22" s="49">
        <f t="shared" si="23"/>
        <v>2.0171994887550304</v>
      </c>
      <c r="BK22" s="49">
        <f t="shared" si="23"/>
        <v>1.9759586930466135</v>
      </c>
      <c r="BL22" s="49">
        <f t="shared" si="23"/>
        <v>1.9570232001521881</v>
      </c>
      <c r="BM22" s="49">
        <f t="shared" si="23"/>
        <v>1.9677506534838789</v>
      </c>
      <c r="BN22" s="49">
        <f>((BN14/101.94*BN17*2)*8/BN18)-BN21</f>
        <v>1.9697802011954435</v>
      </c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</row>
    <row r="23" spans="1:88" s="15" customFormat="1">
      <c r="A23" s="15" t="s">
        <v>20</v>
      </c>
      <c r="B23" s="49">
        <f t="shared" ref="B23:Q23" si="24">(B7/79.9*B17)*8/B18</f>
        <v>5.4851528238793121E-3</v>
      </c>
      <c r="C23" s="49">
        <f t="shared" si="24"/>
        <v>5.7017151678766314E-3</v>
      </c>
      <c r="D23" s="49">
        <f t="shared" si="24"/>
        <v>8.0274962250591417E-3</v>
      </c>
      <c r="E23" s="49">
        <f t="shared" si="24"/>
        <v>8.5914165921159771E-3</v>
      </c>
      <c r="F23" s="49">
        <f t="shared" si="24"/>
        <v>1.2593889510255512E-2</v>
      </c>
      <c r="G23" s="49">
        <f t="shared" si="24"/>
        <v>5.8793136910843412E-4</v>
      </c>
      <c r="H23" s="49">
        <f t="shared" si="24"/>
        <v>4.6653329705746826E-3</v>
      </c>
      <c r="I23" s="49">
        <f t="shared" si="24"/>
        <v>1.6031588912166141E-2</v>
      </c>
      <c r="J23" s="49">
        <f t="shared" si="24"/>
        <v>6.3153895395723688E-3</v>
      </c>
      <c r="K23" s="49">
        <f t="shared" si="24"/>
        <v>1.2009877971065968E-2</v>
      </c>
      <c r="L23" s="49">
        <f t="shared" si="24"/>
        <v>0</v>
      </c>
      <c r="M23" s="49">
        <f t="shared" si="24"/>
        <v>1.7231601852768306E-3</v>
      </c>
      <c r="N23" s="49">
        <f t="shared" si="24"/>
        <v>6.9274814666711359E-3</v>
      </c>
      <c r="O23" s="49">
        <f t="shared" si="24"/>
        <v>5.6800753228422119E-3</v>
      </c>
      <c r="P23" s="49">
        <f t="shared" si="24"/>
        <v>2.2671346014958012E-3</v>
      </c>
      <c r="Q23" s="49">
        <f t="shared" si="24"/>
        <v>3.959845641109066E-3</v>
      </c>
      <c r="R23" s="49">
        <f t="shared" ref="R23:AG23" si="25">(R7/79.9*R17)*8/R18</f>
        <v>5.6316580343300712E-3</v>
      </c>
      <c r="S23" s="49">
        <f t="shared" si="25"/>
        <v>0</v>
      </c>
      <c r="T23" s="49">
        <f t="shared" si="25"/>
        <v>4.5934297141736816E-3</v>
      </c>
      <c r="U23" s="49">
        <f t="shared" si="25"/>
        <v>6.5660360219397945E-3</v>
      </c>
      <c r="V23" s="49">
        <f t="shared" si="25"/>
        <v>0</v>
      </c>
      <c r="W23" s="49">
        <f t="shared" si="25"/>
        <v>3.2676880795447292E-3</v>
      </c>
      <c r="X23" s="49">
        <f t="shared" si="25"/>
        <v>8.1005170925630438E-3</v>
      </c>
      <c r="Y23" s="49">
        <f t="shared" si="25"/>
        <v>3.7257556991812193E-3</v>
      </c>
      <c r="Z23" s="49">
        <f t="shared" si="25"/>
        <v>4.0244716884417896E-3</v>
      </c>
      <c r="AA23" s="49">
        <f t="shared" si="25"/>
        <v>9.200474707486056E-3</v>
      </c>
      <c r="AB23" s="49">
        <f t="shared" si="25"/>
        <v>9.88648324332537E-3</v>
      </c>
      <c r="AC23" s="49">
        <f t="shared" si="25"/>
        <v>5.2722908681976759E-3</v>
      </c>
      <c r="AD23" s="49">
        <f t="shared" si="25"/>
        <v>6.4012429634660202E-3</v>
      </c>
      <c r="AE23" s="49">
        <f t="shared" si="25"/>
        <v>7.9926209134800353E-3</v>
      </c>
      <c r="AF23" s="49">
        <f t="shared" si="25"/>
        <v>2.9232761270205606E-3</v>
      </c>
      <c r="AG23" s="49">
        <f t="shared" si="25"/>
        <v>2.926335718673726E-3</v>
      </c>
      <c r="AH23" s="49">
        <f t="shared" ref="AH23:AW23" si="26">(AH7/79.9*AH17)*8/AH18</f>
        <v>2.7296264296664076E-2</v>
      </c>
      <c r="AI23" s="49">
        <f t="shared" si="26"/>
        <v>1.135995119042898E-3</v>
      </c>
      <c r="AJ23" s="49">
        <f t="shared" si="26"/>
        <v>3.9846053105018547E-3</v>
      </c>
      <c r="AK23" s="49">
        <f t="shared" si="26"/>
        <v>7.9201864145489083E-3</v>
      </c>
      <c r="AL23" s="49">
        <f t="shared" si="26"/>
        <v>7.4071569619703469E-3</v>
      </c>
      <c r="AM23" s="49">
        <f t="shared" si="26"/>
        <v>3.3597031139176144E-3</v>
      </c>
      <c r="AN23" s="49">
        <f t="shared" si="26"/>
        <v>1.1379918169733907E-2</v>
      </c>
      <c r="AO23" s="49">
        <f t="shared" si="26"/>
        <v>2.2652075842897568E-3</v>
      </c>
      <c r="AP23" s="49">
        <f t="shared" si="26"/>
        <v>5.1441850791171858E-3</v>
      </c>
      <c r="AQ23" s="49">
        <f t="shared" si="26"/>
        <v>4.5510763923750502E-3</v>
      </c>
      <c r="AR23" s="49">
        <f t="shared" si="26"/>
        <v>9.552068612012108E-3</v>
      </c>
      <c r="AS23" s="49">
        <f t="shared" si="26"/>
        <v>5.7076083737020271E-3</v>
      </c>
      <c r="AT23" s="49">
        <f t="shared" si="26"/>
        <v>3.4288090915406918E-3</v>
      </c>
      <c r="AU23" s="49">
        <f t="shared" si="26"/>
        <v>4.5233255626277039E-3</v>
      </c>
      <c r="AV23" s="49">
        <f t="shared" si="26"/>
        <v>2.8388997224731132E-3</v>
      </c>
      <c r="AW23" s="49">
        <f t="shared" si="26"/>
        <v>9.552068612012108E-3</v>
      </c>
      <c r="AX23" s="49">
        <f t="shared" ref="AX23:BM23" si="27">(AX7/79.9*AX17)*8/AX18</f>
        <v>0</v>
      </c>
      <c r="AY23" s="49">
        <f t="shared" si="27"/>
        <v>5.7082815026033955E-4</v>
      </c>
      <c r="AZ23" s="49">
        <f t="shared" si="27"/>
        <v>6.8591868028115193E-3</v>
      </c>
      <c r="BA23" s="49">
        <f t="shared" si="27"/>
        <v>2.8729356496552841E-3</v>
      </c>
      <c r="BB23" s="49">
        <f t="shared" si="27"/>
        <v>7.5319963212075866E-3</v>
      </c>
      <c r="BC23" s="49">
        <f t="shared" si="27"/>
        <v>3.8774884369675521E-3</v>
      </c>
      <c r="BD23" s="49">
        <f t="shared" si="27"/>
        <v>0</v>
      </c>
      <c r="BE23" s="49">
        <f t="shared" si="27"/>
        <v>4.5684336799117486E-3</v>
      </c>
      <c r="BF23" s="49">
        <f t="shared" si="27"/>
        <v>5.4783172082734056E-4</v>
      </c>
      <c r="BG23" s="49">
        <f t="shared" si="27"/>
        <v>1.100847174927749E-3</v>
      </c>
      <c r="BH23" s="49">
        <f t="shared" si="27"/>
        <v>5.5669793791998361E-3</v>
      </c>
      <c r="BI23" s="49">
        <f t="shared" si="27"/>
        <v>3.976274632872024E-3</v>
      </c>
      <c r="BJ23" s="49">
        <f t="shared" si="27"/>
        <v>4.6591102042843838E-3</v>
      </c>
      <c r="BK23" s="49">
        <f t="shared" si="27"/>
        <v>4.696817206164711E-3</v>
      </c>
      <c r="BL23" s="49">
        <f t="shared" si="27"/>
        <v>1.7280019674684318E-3</v>
      </c>
      <c r="BM23" s="49">
        <f t="shared" si="27"/>
        <v>1.1282011486409766E-2</v>
      </c>
      <c r="BN23" s="49">
        <f>(BN7/79.9*BN17)*8/BN18</f>
        <v>6.4979086208553855E-3</v>
      </c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</row>
    <row r="24" spans="1:88" s="15" customFormat="1">
      <c r="A24" s="15" t="s">
        <v>21</v>
      </c>
      <c r="B24" s="49">
        <f t="shared" ref="B24:Q24" si="28">(B8/152.02*B17*2)*8/B18</f>
        <v>1.3161222955771119E-3</v>
      </c>
      <c r="C24" s="49">
        <f t="shared" si="28"/>
        <v>1.1987029125466195E-3</v>
      </c>
      <c r="D24" s="49">
        <f t="shared" si="28"/>
        <v>0</v>
      </c>
      <c r="E24" s="49">
        <f t="shared" si="28"/>
        <v>7.2248828913044775E-3</v>
      </c>
      <c r="F24" s="49">
        <f t="shared" si="28"/>
        <v>3.6104762717922827E-3</v>
      </c>
      <c r="G24" s="49">
        <f t="shared" si="28"/>
        <v>0</v>
      </c>
      <c r="H24" s="49">
        <f t="shared" si="28"/>
        <v>0</v>
      </c>
      <c r="I24" s="49">
        <f t="shared" si="28"/>
        <v>1.8055762692156217E-3</v>
      </c>
      <c r="J24" s="49">
        <f t="shared" si="28"/>
        <v>0</v>
      </c>
      <c r="K24" s="49">
        <f t="shared" si="28"/>
        <v>6.6128402583431256E-3</v>
      </c>
      <c r="L24" s="49">
        <f t="shared" si="28"/>
        <v>0</v>
      </c>
      <c r="M24" s="49">
        <f t="shared" si="28"/>
        <v>1.2075647836128471E-3</v>
      </c>
      <c r="N24" s="49">
        <f t="shared" si="28"/>
        <v>3.0341718698582631E-3</v>
      </c>
      <c r="O24" s="49">
        <f t="shared" si="28"/>
        <v>4.7766137960278138E-3</v>
      </c>
      <c r="P24" s="49">
        <f t="shared" si="28"/>
        <v>0</v>
      </c>
      <c r="Q24" s="49">
        <f t="shared" si="28"/>
        <v>0</v>
      </c>
      <c r="R24" s="49">
        <f t="shared" ref="R24:AG24" si="29">(R8/152.02*R17*2)*8/R18</f>
        <v>3.5519232491222678E-3</v>
      </c>
      <c r="S24" s="49">
        <f t="shared" si="29"/>
        <v>3.604134459565817E-3</v>
      </c>
      <c r="T24" s="49">
        <f t="shared" si="29"/>
        <v>0</v>
      </c>
      <c r="U24" s="49">
        <f t="shared" si="29"/>
        <v>2.8758621571338726E-3</v>
      </c>
      <c r="V24" s="49">
        <f t="shared" si="29"/>
        <v>2.1461187256304616E-2</v>
      </c>
      <c r="W24" s="49">
        <f t="shared" si="29"/>
        <v>7.442326904843902E-3</v>
      </c>
      <c r="X24" s="49">
        <f t="shared" si="29"/>
        <v>3.4060324467611487E-3</v>
      </c>
      <c r="Y24" s="49">
        <f t="shared" si="29"/>
        <v>5.5949006778164417E-4</v>
      </c>
      <c r="Z24" s="49">
        <f t="shared" si="29"/>
        <v>0</v>
      </c>
      <c r="AA24" s="49">
        <f t="shared" si="29"/>
        <v>0</v>
      </c>
      <c r="AB24" s="49">
        <f t="shared" si="29"/>
        <v>0</v>
      </c>
      <c r="AC24" s="49">
        <f t="shared" si="29"/>
        <v>6.1579037899836897E-3</v>
      </c>
      <c r="AD24" s="49">
        <f t="shared" si="29"/>
        <v>4.2819906345654829E-3</v>
      </c>
      <c r="AE24" s="49">
        <f t="shared" si="29"/>
        <v>2.1004157709086133E-2</v>
      </c>
      <c r="AF24" s="49">
        <f t="shared" si="29"/>
        <v>6.1457640454925079E-4</v>
      </c>
      <c r="AG24" s="49">
        <f t="shared" si="29"/>
        <v>4.3065374752117216E-3</v>
      </c>
      <c r="AH24" s="49">
        <f t="shared" ref="AH24:AW24" si="30">(AH8/152.02*AH17*2)*8/AH18</f>
        <v>0</v>
      </c>
      <c r="AI24" s="49">
        <f t="shared" si="30"/>
        <v>5.9706624135987081E-3</v>
      </c>
      <c r="AJ24" s="49">
        <f t="shared" si="30"/>
        <v>1.1967221016373716E-3</v>
      </c>
      <c r="AK24" s="49">
        <f t="shared" si="30"/>
        <v>1.7840403363912391E-3</v>
      </c>
      <c r="AL24" s="49">
        <f t="shared" si="30"/>
        <v>2.3957650967440748E-3</v>
      </c>
      <c r="AM24" s="49">
        <f t="shared" si="30"/>
        <v>3.5316442415737055E-3</v>
      </c>
      <c r="AN24" s="49">
        <f t="shared" si="30"/>
        <v>1.1962313666119447E-3</v>
      </c>
      <c r="AO24" s="49">
        <f t="shared" si="30"/>
        <v>3.5717027888057798E-3</v>
      </c>
      <c r="AP24" s="49">
        <f t="shared" si="30"/>
        <v>5.4074514908757148E-3</v>
      </c>
      <c r="AQ24" s="49">
        <f t="shared" si="30"/>
        <v>8.9699793715654133E-3</v>
      </c>
      <c r="AR24" s="49">
        <f t="shared" si="30"/>
        <v>3.5438538989441049E-3</v>
      </c>
      <c r="AS24" s="49">
        <f t="shared" si="30"/>
        <v>5.9997093679620031E-4</v>
      </c>
      <c r="AT24" s="49">
        <f t="shared" si="30"/>
        <v>6.6078592960468231E-3</v>
      </c>
      <c r="AU24" s="49">
        <f t="shared" si="30"/>
        <v>1.7830567316173209E-3</v>
      </c>
      <c r="AV24" s="49">
        <f t="shared" si="30"/>
        <v>0</v>
      </c>
      <c r="AW24" s="49">
        <f t="shared" si="30"/>
        <v>3.5438538989441049E-3</v>
      </c>
      <c r="AX24" s="49">
        <f t="shared" ref="AX24:BM24" si="31">(AX8/152.02*AX17*2)*8/AX18</f>
        <v>0</v>
      </c>
      <c r="AY24" s="49">
        <f t="shared" si="31"/>
        <v>4.2002918621314028E-3</v>
      </c>
      <c r="AZ24" s="49">
        <f t="shared" si="31"/>
        <v>5.4076670064265257E-3</v>
      </c>
      <c r="BA24" s="49">
        <f t="shared" si="31"/>
        <v>4.2279513454866477E-3</v>
      </c>
      <c r="BB24" s="49">
        <f t="shared" si="31"/>
        <v>0</v>
      </c>
      <c r="BC24" s="49">
        <f t="shared" si="31"/>
        <v>0</v>
      </c>
      <c r="BD24" s="49">
        <f t="shared" si="31"/>
        <v>5.8782270728187597E-4</v>
      </c>
      <c r="BE24" s="49">
        <f t="shared" si="31"/>
        <v>0</v>
      </c>
      <c r="BF24" s="49">
        <f t="shared" si="31"/>
        <v>0</v>
      </c>
      <c r="BG24" s="49">
        <f t="shared" si="31"/>
        <v>3.4715572665462626E-3</v>
      </c>
      <c r="BH24" s="49">
        <f t="shared" si="31"/>
        <v>2.3407533345510688E-3</v>
      </c>
      <c r="BI24" s="49">
        <f t="shared" si="31"/>
        <v>1.1942200957260312E-3</v>
      </c>
      <c r="BJ24" s="49">
        <f t="shared" si="31"/>
        <v>0</v>
      </c>
      <c r="BK24" s="49">
        <f t="shared" si="31"/>
        <v>4.3200399016707063E-3</v>
      </c>
      <c r="BL24" s="49">
        <f t="shared" si="31"/>
        <v>6.0547891593530536E-4</v>
      </c>
      <c r="BM24" s="49">
        <f t="shared" si="31"/>
        <v>0</v>
      </c>
      <c r="BN24" s="49">
        <f>(BN8/152.02*BN17*2)*8/BN18</f>
        <v>0</v>
      </c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</row>
    <row r="25" spans="1:88" s="15" customFormat="1">
      <c r="A25" s="15" t="s">
        <v>51</v>
      </c>
      <c r="B25" s="49">
        <f t="shared" ref="B25:Q25" si="32">IF(((B10/71.85*B17)*8/B18)&gt;(IF(2-B22-B23-B24&gt;0,2-B22-B23-B24,0)),(IF(2-B22-B23-B24&gt;0,2-B22-B23-B24,0)),((B10/71.85*B17)*8/B18))</f>
        <v>1.5616472424033705E-2</v>
      </c>
      <c r="C25" s="49">
        <f t="shared" si="32"/>
        <v>0</v>
      </c>
      <c r="D25" s="49">
        <f t="shared" si="32"/>
        <v>2.0808082403517635E-2</v>
      </c>
      <c r="E25" s="49">
        <f t="shared" si="32"/>
        <v>0</v>
      </c>
      <c r="F25" s="49">
        <f t="shared" si="32"/>
        <v>0</v>
      </c>
      <c r="G25" s="49">
        <f t="shared" si="32"/>
        <v>3.1514897695891953E-3</v>
      </c>
      <c r="H25" s="49">
        <f t="shared" si="32"/>
        <v>0</v>
      </c>
      <c r="I25" s="49">
        <f t="shared" si="32"/>
        <v>4.8879415788110753E-2</v>
      </c>
      <c r="J25" s="49">
        <f t="shared" si="32"/>
        <v>2.1741337728087361E-2</v>
      </c>
      <c r="K25" s="49">
        <f t="shared" si="32"/>
        <v>9.0733312616230518E-4</v>
      </c>
      <c r="L25" s="49">
        <f t="shared" si="32"/>
        <v>2.2809110402340016E-2</v>
      </c>
      <c r="M25" s="49">
        <f t="shared" si="32"/>
        <v>1.3239764723885781E-2</v>
      </c>
      <c r="N25" s="49">
        <f t="shared" si="32"/>
        <v>1.1809958325830681E-2</v>
      </c>
      <c r="O25" s="49">
        <f t="shared" si="32"/>
        <v>5.7271351670497763E-3</v>
      </c>
      <c r="P25" s="49">
        <f t="shared" si="32"/>
        <v>0</v>
      </c>
      <c r="Q25" s="49">
        <f t="shared" si="32"/>
        <v>0</v>
      </c>
      <c r="R25" s="49">
        <f t="shared" ref="R25:AG25" si="33">IF(((R10/71.85*R17)*8/R18)&gt;(IF(2-R22-R23-R24&gt;0,2-R22-R23-R24,0)),(IF(2-R22-R23-R24&gt;0,2-R22-R23-R24,0)),((R10/71.85*R17)*8/R18))</f>
        <v>0</v>
      </c>
      <c r="S25" s="49">
        <f t="shared" si="33"/>
        <v>0</v>
      </c>
      <c r="T25" s="49">
        <f t="shared" si="33"/>
        <v>0</v>
      </c>
      <c r="U25" s="49">
        <f t="shared" si="33"/>
        <v>0</v>
      </c>
      <c r="V25" s="49">
        <f t="shared" si="33"/>
        <v>1.5900535894237254E-2</v>
      </c>
      <c r="W25" s="49">
        <f t="shared" si="33"/>
        <v>2.5883045555384884E-2</v>
      </c>
      <c r="X25" s="49">
        <f t="shared" si="33"/>
        <v>3.0773995745974374E-2</v>
      </c>
      <c r="Y25" s="49">
        <f t="shared" si="33"/>
        <v>1.4707828873058449E-2</v>
      </c>
      <c r="Z25" s="49">
        <f t="shared" si="33"/>
        <v>0</v>
      </c>
      <c r="AA25" s="49">
        <f t="shared" si="33"/>
        <v>0</v>
      </c>
      <c r="AB25" s="49">
        <f t="shared" si="33"/>
        <v>8.8390515946586336E-3</v>
      </c>
      <c r="AC25" s="49">
        <f t="shared" si="33"/>
        <v>0</v>
      </c>
      <c r="AD25" s="49">
        <f t="shared" si="33"/>
        <v>0</v>
      </c>
      <c r="AE25" s="49">
        <f t="shared" si="33"/>
        <v>1.6703481030595546E-2</v>
      </c>
      <c r="AF25" s="49">
        <f t="shared" si="33"/>
        <v>0</v>
      </c>
      <c r="AG25" s="49">
        <f t="shared" si="33"/>
        <v>0</v>
      </c>
      <c r="AH25" s="49">
        <f t="shared" ref="AH25:AW25" si="34">IF(((AH10/71.85*AH17)*8/AH18)&gt;(IF(2-AH22-AH23-AH24&gt;0,2-AH22-AH23-AH24,0)),(IF(2-AH22-AH23-AH24&gt;0,2-AH22-AH23-AH24,0)),((AH10/71.85*AH17)*8/AH18))</f>
        <v>0</v>
      </c>
      <c r="AI25" s="49">
        <f t="shared" si="34"/>
        <v>0</v>
      </c>
      <c r="AJ25" s="49">
        <f t="shared" si="34"/>
        <v>0</v>
      </c>
      <c r="AK25" s="49">
        <f t="shared" si="34"/>
        <v>0</v>
      </c>
      <c r="AL25" s="49">
        <f t="shared" si="34"/>
        <v>0</v>
      </c>
      <c r="AM25" s="49">
        <f t="shared" si="34"/>
        <v>0</v>
      </c>
      <c r="AN25" s="49">
        <f t="shared" si="34"/>
        <v>0</v>
      </c>
      <c r="AO25" s="49">
        <f t="shared" si="34"/>
        <v>0</v>
      </c>
      <c r="AP25" s="49">
        <f t="shared" si="34"/>
        <v>0</v>
      </c>
      <c r="AQ25" s="49">
        <f t="shared" si="34"/>
        <v>0</v>
      </c>
      <c r="AR25" s="49">
        <f t="shared" si="34"/>
        <v>0</v>
      </c>
      <c r="AS25" s="49">
        <f t="shared" si="34"/>
        <v>0</v>
      </c>
      <c r="AT25" s="49">
        <f t="shared" si="34"/>
        <v>0</v>
      </c>
      <c r="AU25" s="49">
        <f t="shared" si="34"/>
        <v>0</v>
      </c>
      <c r="AV25" s="49">
        <f t="shared" si="34"/>
        <v>0</v>
      </c>
      <c r="AW25" s="49">
        <f t="shared" si="34"/>
        <v>0</v>
      </c>
      <c r="AX25" s="49">
        <f t="shared" ref="AX25:BM25" si="35">IF(((AX10/71.85*AX17)*8/AX18)&gt;(IF(2-AX22-AX23-AX24&gt;0,2-AX22-AX23-AX24,0)),(IF(2-AX22-AX23-AX24&gt;0,2-AX22-AX23-AX24,0)),((AX10/71.85*AX17)*8/AX18))</f>
        <v>0</v>
      </c>
      <c r="AY25" s="49">
        <f t="shared" si="35"/>
        <v>0</v>
      </c>
      <c r="AZ25" s="49">
        <f t="shared" si="35"/>
        <v>0</v>
      </c>
      <c r="BA25" s="49">
        <f t="shared" si="35"/>
        <v>0</v>
      </c>
      <c r="BB25" s="49">
        <f t="shared" si="35"/>
        <v>0</v>
      </c>
      <c r="BC25" s="49">
        <f t="shared" si="35"/>
        <v>5.9110161382237621E-3</v>
      </c>
      <c r="BD25" s="49">
        <f t="shared" si="35"/>
        <v>0</v>
      </c>
      <c r="BE25" s="49">
        <f t="shared" si="35"/>
        <v>0</v>
      </c>
      <c r="BF25" s="49">
        <f t="shared" si="35"/>
        <v>0</v>
      </c>
      <c r="BG25" s="49">
        <f t="shared" si="35"/>
        <v>9.7571466004794244E-3</v>
      </c>
      <c r="BH25" s="49">
        <f t="shared" si="35"/>
        <v>0</v>
      </c>
      <c r="BI25" s="49">
        <f t="shared" si="35"/>
        <v>0</v>
      </c>
      <c r="BJ25" s="49">
        <f t="shared" si="35"/>
        <v>0</v>
      </c>
      <c r="BK25" s="49">
        <f t="shared" si="35"/>
        <v>1.502444984555105E-2</v>
      </c>
      <c r="BL25" s="49">
        <f t="shared" si="35"/>
        <v>4.0643318964408148E-2</v>
      </c>
      <c r="BM25" s="49">
        <f t="shared" si="35"/>
        <v>2.0967335029711334E-2</v>
      </c>
      <c r="BN25" s="49">
        <f>IF(((BN10/71.85*BN17)*8/BN18)&gt;(IF(2-BN22-BN23-BN24&gt;0,2-BN22-BN23-BN24,0)),(IF(2-BN22-BN23-BN24&gt;0,2-BN22-BN23-BN24,0)),((BN10/71.85*BN17)*8/BN18))</f>
        <v>2.3721890183701112E-2</v>
      </c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</row>
    <row r="26" spans="1:88" s="15" customFormat="1">
      <c r="A26" s="15" t="s">
        <v>52</v>
      </c>
      <c r="B26" s="49">
        <f t="shared" ref="B26:Q26" si="36">IF(((B10/71.85*B17)*8/B18)&gt;B25,((B10/71.85*B17)*8/B18)-B25,0)</f>
        <v>2.2557275411750339</v>
      </c>
      <c r="C26" s="49">
        <f t="shared" si="36"/>
        <v>1.4881222649556238</v>
      </c>
      <c r="D26" s="49">
        <f t="shared" si="36"/>
        <v>1.3972919406624622</v>
      </c>
      <c r="E26" s="49">
        <f t="shared" si="36"/>
        <v>1.3388324735444772</v>
      </c>
      <c r="F26" s="49">
        <f t="shared" si="36"/>
        <v>1.3654773522236323</v>
      </c>
      <c r="G26" s="49">
        <f t="shared" si="36"/>
        <v>1.6431234423732288</v>
      </c>
      <c r="H26" s="49">
        <f t="shared" si="36"/>
        <v>1.5817012778479627</v>
      </c>
      <c r="I26" s="49">
        <f t="shared" si="36"/>
        <v>1.6657682670546305</v>
      </c>
      <c r="J26" s="49">
        <f t="shared" si="36"/>
        <v>1.5750242220287203</v>
      </c>
      <c r="K26" s="49">
        <f t="shared" si="36"/>
        <v>1.6106505813230048</v>
      </c>
      <c r="L26" s="49">
        <f t="shared" si="36"/>
        <v>1.4282091133436559</v>
      </c>
      <c r="M26" s="49">
        <f t="shared" si="36"/>
        <v>1.4731092063548474</v>
      </c>
      <c r="N26" s="49">
        <f t="shared" si="36"/>
        <v>1.5841252564722919</v>
      </c>
      <c r="O26" s="49">
        <f t="shared" si="36"/>
        <v>1.327047003458762</v>
      </c>
      <c r="P26" s="49">
        <f t="shared" si="36"/>
        <v>1.3923006845611259</v>
      </c>
      <c r="Q26" s="49">
        <f t="shared" si="36"/>
        <v>1.4003138485515292</v>
      </c>
      <c r="R26" s="49">
        <f t="shared" ref="R26:AG26" si="37">IF(((R10/71.85*R17)*8/R18)&gt;R25,((R10/71.85*R17)*8/R18)-R25,0)</f>
        <v>1.4353932375132827</v>
      </c>
      <c r="S26" s="49">
        <f t="shared" si="37"/>
        <v>1.4590345571412398</v>
      </c>
      <c r="T26" s="49">
        <f t="shared" si="37"/>
        <v>1.3581088685866196</v>
      </c>
      <c r="U26" s="49">
        <f t="shared" si="37"/>
        <v>1.3325580481965289</v>
      </c>
      <c r="V26" s="49">
        <f t="shared" si="37"/>
        <v>1.4236402952303358</v>
      </c>
      <c r="W26" s="49">
        <f t="shared" si="37"/>
        <v>1.2834949550831187</v>
      </c>
      <c r="X26" s="49">
        <f t="shared" si="37"/>
        <v>1.133671860096412</v>
      </c>
      <c r="Y26" s="49">
        <f t="shared" si="37"/>
        <v>1.1631406290760677</v>
      </c>
      <c r="Z26" s="49">
        <f t="shared" si="37"/>
        <v>1.7025583690128381</v>
      </c>
      <c r="AA26" s="49">
        <f t="shared" si="37"/>
        <v>1.6011963244057517</v>
      </c>
      <c r="AB26" s="49">
        <f t="shared" si="37"/>
        <v>1.6195892656142268</v>
      </c>
      <c r="AC26" s="49">
        <f t="shared" si="37"/>
        <v>1.5888710778009392</v>
      </c>
      <c r="AD26" s="49">
        <f t="shared" si="37"/>
        <v>1.5777033017775919</v>
      </c>
      <c r="AE26" s="49">
        <f t="shared" si="37"/>
        <v>1.5342710035517437</v>
      </c>
      <c r="AF26" s="49">
        <f t="shared" si="37"/>
        <v>1.6488042249801504</v>
      </c>
      <c r="AG26" s="49">
        <f t="shared" si="37"/>
        <v>1.6297030388330267</v>
      </c>
      <c r="AH26" s="49">
        <f t="shared" ref="AH26:AW26" si="38">IF(((AH10/71.85*AH17)*8/AH18)&gt;AH25,((AH10/71.85*AH17)*8/AH18)-AH25,0)</f>
        <v>1.5254755693364641</v>
      </c>
      <c r="AI26" s="49">
        <f t="shared" si="38"/>
        <v>1.3839132076218297</v>
      </c>
      <c r="AJ26" s="49">
        <f t="shared" si="38"/>
        <v>1.4160326278147981</v>
      </c>
      <c r="AK26" s="49">
        <f t="shared" si="38"/>
        <v>1.3091802798501189</v>
      </c>
      <c r="AL26" s="49">
        <f t="shared" si="38"/>
        <v>1.3185611708848961</v>
      </c>
      <c r="AM26" s="49">
        <f t="shared" si="38"/>
        <v>1.3885915604929224</v>
      </c>
      <c r="AN26" s="49">
        <f t="shared" si="38"/>
        <v>1.4458237509572542</v>
      </c>
      <c r="AO26" s="49">
        <f t="shared" si="38"/>
        <v>1.3356992775701395</v>
      </c>
      <c r="AP26" s="49">
        <f t="shared" si="38"/>
        <v>1.3856405249374311</v>
      </c>
      <c r="AQ26" s="49">
        <f t="shared" si="38"/>
        <v>1.3411581905908576</v>
      </c>
      <c r="AR26" s="49">
        <f t="shared" si="38"/>
        <v>1.276547223652073</v>
      </c>
      <c r="AS26" s="49">
        <f t="shared" si="38"/>
        <v>1.3506592490982732</v>
      </c>
      <c r="AT26" s="49">
        <f t="shared" si="38"/>
        <v>1.4559187894565209</v>
      </c>
      <c r="AU26" s="49">
        <f t="shared" si="38"/>
        <v>1.3122310680087006</v>
      </c>
      <c r="AV26" s="49">
        <f t="shared" si="38"/>
        <v>1.3644411907894931</v>
      </c>
      <c r="AW26" s="49">
        <f t="shared" si="38"/>
        <v>1.276547223652073</v>
      </c>
      <c r="AX26" s="49">
        <f t="shared" ref="AX26:BM26" si="39">IF(((AX10/71.85*AX17)*8/AX18)&gt;AX25,((AX10/71.85*AX17)*8/AX18)-AX25,0)</f>
        <v>1.3893240169760559</v>
      </c>
      <c r="AY26" s="49">
        <f t="shared" si="39"/>
        <v>1.4333403488754206</v>
      </c>
      <c r="AZ26" s="49">
        <f t="shared" si="39"/>
        <v>1.4982040747027574</v>
      </c>
      <c r="BA26" s="49">
        <f t="shared" si="39"/>
        <v>1.7571490205163738</v>
      </c>
      <c r="BB26" s="49">
        <f t="shared" si="39"/>
        <v>1.7157654575769252</v>
      </c>
      <c r="BC26" s="49">
        <f t="shared" si="39"/>
        <v>1.3467993370692553</v>
      </c>
      <c r="BD26" s="49">
        <f t="shared" si="39"/>
        <v>1.3898497271594608</v>
      </c>
      <c r="BE26" s="49">
        <f t="shared" si="39"/>
        <v>1.6218782037538608</v>
      </c>
      <c r="BF26" s="49">
        <f t="shared" si="39"/>
        <v>1.3743782621948475</v>
      </c>
      <c r="BG26" s="49">
        <f t="shared" si="39"/>
        <v>1.4017281106864574</v>
      </c>
      <c r="BH26" s="49">
        <f t="shared" si="39"/>
        <v>1.4337656603394895</v>
      </c>
      <c r="BI26" s="49">
        <f t="shared" si="39"/>
        <v>1.5905746815651325</v>
      </c>
      <c r="BJ26" s="49">
        <f t="shared" si="39"/>
        <v>1.5672864141962768</v>
      </c>
      <c r="BK26" s="49">
        <f t="shared" si="39"/>
        <v>1.8593953826040333</v>
      </c>
      <c r="BL26" s="49">
        <f t="shared" si="39"/>
        <v>1.5164976940486703</v>
      </c>
      <c r="BM26" s="49">
        <f t="shared" si="39"/>
        <v>1.8021698541046633</v>
      </c>
      <c r="BN26" s="49">
        <f>IF(((BN10/71.85*BN17)*8/BN18)&gt;BN25,((BN10/71.85*BN17)*8/BN18)-BN25,0)</f>
        <v>1.8399105307862511</v>
      </c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</row>
    <row r="27" spans="1:88" s="15" customFormat="1">
      <c r="A27" s="15" t="s">
        <v>24</v>
      </c>
      <c r="B27" s="49">
        <f t="shared" ref="B27:Q27" si="40">(B15/40.32*B17)*8/B18</f>
        <v>0.597829962414128</v>
      </c>
      <c r="C27" s="49">
        <f t="shared" si="40"/>
        <v>0.87000650365395338</v>
      </c>
      <c r="D27" s="49">
        <f t="shared" si="40"/>
        <v>0.7715216268982622</v>
      </c>
      <c r="E27" s="49">
        <f t="shared" si="40"/>
        <v>0.61063550250002629</v>
      </c>
      <c r="F27" s="49">
        <f t="shared" si="40"/>
        <v>0.59669060245683669</v>
      </c>
      <c r="G27" s="49">
        <f t="shared" si="40"/>
        <v>0.5755457315855993</v>
      </c>
      <c r="H27" s="49">
        <f t="shared" si="40"/>
        <v>0.53043430027329153</v>
      </c>
      <c r="I27" s="49">
        <f t="shared" si="40"/>
        <v>0.6047446034631393</v>
      </c>
      <c r="J27" s="49">
        <f t="shared" si="40"/>
        <v>0.53700176458329907</v>
      </c>
      <c r="K27" s="49">
        <f t="shared" si="40"/>
        <v>0.53038521464907407</v>
      </c>
      <c r="L27" s="49">
        <f t="shared" si="40"/>
        <v>0.94211406729269809</v>
      </c>
      <c r="M27" s="49">
        <f t="shared" si="40"/>
        <v>0.8844059818982456</v>
      </c>
      <c r="N27" s="49">
        <f t="shared" si="40"/>
        <v>0.61546400426301839</v>
      </c>
      <c r="O27" s="49">
        <f t="shared" si="40"/>
        <v>0.71587544552499738</v>
      </c>
      <c r="P27" s="49">
        <f t="shared" si="40"/>
        <v>0.93896595793250326</v>
      </c>
      <c r="Q27" s="49">
        <f t="shared" si="40"/>
        <v>0.86092970537310032</v>
      </c>
      <c r="R27" s="49">
        <f t="shared" ref="R27:AG27" si="41">(R15/40.32*R17)*8/R18</f>
        <v>0.95975632482876105</v>
      </c>
      <c r="S27" s="49">
        <f t="shared" si="41"/>
        <v>0.82665215773092904</v>
      </c>
      <c r="T27" s="49">
        <f t="shared" si="41"/>
        <v>0.63376542047525963</v>
      </c>
      <c r="U27" s="49">
        <f t="shared" si="41"/>
        <v>1.1623664231564252</v>
      </c>
      <c r="V27" s="49">
        <f t="shared" si="41"/>
        <v>1.1689069320724623</v>
      </c>
      <c r="W27" s="49">
        <f t="shared" si="41"/>
        <v>1.2087420257204806</v>
      </c>
      <c r="X27" s="49">
        <f t="shared" si="41"/>
        <v>1.3291357375895634</v>
      </c>
      <c r="Y27" s="49">
        <f t="shared" si="41"/>
        <v>1.2287641036874117</v>
      </c>
      <c r="Z27" s="49">
        <f t="shared" si="41"/>
        <v>0.44090807971873269</v>
      </c>
      <c r="AA27" s="49">
        <f t="shared" si="41"/>
        <v>0.42617513872445872</v>
      </c>
      <c r="AB27" s="49">
        <f t="shared" si="41"/>
        <v>0.3883730359400559</v>
      </c>
      <c r="AC27" s="49">
        <f t="shared" si="41"/>
        <v>0.50265615487151272</v>
      </c>
      <c r="AD27" s="49">
        <f t="shared" si="41"/>
        <v>0.45089419033492428</v>
      </c>
      <c r="AE27" s="49">
        <f t="shared" si="41"/>
        <v>0.45705535366845618</v>
      </c>
      <c r="AF27" s="49">
        <f t="shared" si="41"/>
        <v>0.43330898409377289</v>
      </c>
      <c r="AG27" s="49">
        <f t="shared" si="41"/>
        <v>0.45927793984684595</v>
      </c>
      <c r="AH27" s="49">
        <f t="shared" ref="AH27:AW27" si="42">(AH15/40.32*AH17)*8/AH18</f>
        <v>0.40856387656341198</v>
      </c>
      <c r="AI27" s="49">
        <f t="shared" si="42"/>
        <v>0.94322812983209448</v>
      </c>
      <c r="AJ27" s="49">
        <f t="shared" si="42"/>
        <v>0.92948147176409057</v>
      </c>
      <c r="AK27" s="49">
        <f t="shared" si="42"/>
        <v>0.71748627496877304</v>
      </c>
      <c r="AL27" s="49">
        <f t="shared" si="42"/>
        <v>0.73278934863146483</v>
      </c>
      <c r="AM27" s="49">
        <f t="shared" si="42"/>
        <v>0.93097467722756533</v>
      </c>
      <c r="AN27" s="49">
        <f t="shared" si="42"/>
        <v>0.62578965932262542</v>
      </c>
      <c r="AO27" s="49">
        <f t="shared" si="42"/>
        <v>0.62058232607618813</v>
      </c>
      <c r="AP27" s="49">
        <f t="shared" si="42"/>
        <v>1.0250591131460101</v>
      </c>
      <c r="AQ27" s="49">
        <f t="shared" si="42"/>
        <v>0.70683481941880755</v>
      </c>
      <c r="AR27" s="49">
        <f t="shared" si="42"/>
        <v>0.70593388021016057</v>
      </c>
      <c r="AS27" s="49">
        <f t="shared" si="42"/>
        <v>0.89013351792973527</v>
      </c>
      <c r="AT27" s="49">
        <f t="shared" si="42"/>
        <v>0.46317127638627409</v>
      </c>
      <c r="AU27" s="49">
        <f t="shared" si="42"/>
        <v>0.74622250897300679</v>
      </c>
      <c r="AV27" s="49">
        <f t="shared" si="42"/>
        <v>0.52431492523179768</v>
      </c>
      <c r="AW27" s="49">
        <f t="shared" si="42"/>
        <v>0.70593388021016057</v>
      </c>
      <c r="AX27" s="49">
        <f t="shared" ref="AX27:BM27" si="43">(AX15/40.32*AX17)*8/AX18</f>
        <v>0.82863790501919599</v>
      </c>
      <c r="AY27" s="49">
        <f t="shared" si="43"/>
        <v>1.0124059136704369</v>
      </c>
      <c r="AZ27" s="49">
        <f t="shared" si="43"/>
        <v>0.85972472385164944</v>
      </c>
      <c r="BA27" s="49">
        <f t="shared" si="43"/>
        <v>0.63649347792543942</v>
      </c>
      <c r="BB27" s="49">
        <f t="shared" si="43"/>
        <v>0.65214074985620463</v>
      </c>
      <c r="BC27" s="49">
        <f t="shared" si="43"/>
        <v>1.3260065261669449</v>
      </c>
      <c r="BD27" s="49">
        <f t="shared" si="43"/>
        <v>1.2876644202712215</v>
      </c>
      <c r="BE27" s="49">
        <f t="shared" si="43"/>
        <v>0.78421803931141332</v>
      </c>
      <c r="BF27" s="49">
        <f t="shared" si="43"/>
        <v>1.3211861413523114</v>
      </c>
      <c r="BG27" s="49">
        <f t="shared" si="43"/>
        <v>1.3132571662844676</v>
      </c>
      <c r="BH27" s="49">
        <f t="shared" si="43"/>
        <v>1.1064882374882468</v>
      </c>
      <c r="BI27" s="49">
        <f t="shared" si="43"/>
        <v>0.69227668313273094</v>
      </c>
      <c r="BJ27" s="49">
        <f t="shared" si="43"/>
        <v>0.71553509827579309</v>
      </c>
      <c r="BK27" s="49">
        <f t="shared" si="43"/>
        <v>0.3234332934857756</v>
      </c>
      <c r="BL27" s="49">
        <f t="shared" si="43"/>
        <v>0.97021539038209781</v>
      </c>
      <c r="BM27" s="49">
        <f t="shared" si="43"/>
        <v>0.25416336027184411</v>
      </c>
      <c r="BN27" s="49">
        <f>(BN15/40.32*BN17)*8/BN18</f>
        <v>0.41087932332482685</v>
      </c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</row>
    <row r="28" spans="1:88" s="15" customFormat="1">
      <c r="A28" s="15" t="s">
        <v>25</v>
      </c>
      <c r="B28" s="49">
        <f t="shared" ref="B28:Q28" si="44">(B11/74.71*B17)*8/B18</f>
        <v>1.083971513137068E-3</v>
      </c>
      <c r="C28" s="49">
        <f t="shared" si="44"/>
        <v>0</v>
      </c>
      <c r="D28" s="49">
        <f t="shared" si="44"/>
        <v>0</v>
      </c>
      <c r="E28" s="49">
        <f t="shared" si="44"/>
        <v>0</v>
      </c>
      <c r="F28" s="49">
        <f t="shared" si="44"/>
        <v>0</v>
      </c>
      <c r="G28" s="49">
        <f t="shared" si="44"/>
        <v>0</v>
      </c>
      <c r="H28" s="49">
        <f t="shared" si="44"/>
        <v>0</v>
      </c>
      <c r="I28" s="49">
        <f t="shared" si="44"/>
        <v>0</v>
      </c>
      <c r="J28" s="49">
        <f t="shared" si="44"/>
        <v>1.8420302413398434E-3</v>
      </c>
      <c r="K28" s="49">
        <f t="shared" si="44"/>
        <v>0</v>
      </c>
      <c r="L28" s="49">
        <f t="shared" si="44"/>
        <v>0</v>
      </c>
      <c r="M28" s="49">
        <f t="shared" si="44"/>
        <v>0</v>
      </c>
      <c r="N28" s="49">
        <f t="shared" si="44"/>
        <v>0</v>
      </c>
      <c r="O28" s="49">
        <f t="shared" si="44"/>
        <v>0</v>
      </c>
      <c r="P28" s="49">
        <f t="shared" si="44"/>
        <v>0</v>
      </c>
      <c r="Q28" s="49">
        <f t="shared" si="44"/>
        <v>0</v>
      </c>
      <c r="R28" s="49">
        <f t="shared" ref="R28:AG28" si="45">(R11/74.71*R17)*8/R18</f>
        <v>0</v>
      </c>
      <c r="S28" s="49">
        <f t="shared" si="45"/>
        <v>0</v>
      </c>
      <c r="T28" s="49">
        <f t="shared" si="45"/>
        <v>0</v>
      </c>
      <c r="U28" s="49">
        <f t="shared" si="45"/>
        <v>0</v>
      </c>
      <c r="V28" s="49">
        <f t="shared" si="45"/>
        <v>3.5407500208410477E-3</v>
      </c>
      <c r="W28" s="49">
        <f t="shared" si="45"/>
        <v>2.9122415289745229E-3</v>
      </c>
      <c r="X28" s="49">
        <f t="shared" si="45"/>
        <v>0</v>
      </c>
      <c r="Y28" s="49">
        <f t="shared" si="45"/>
        <v>4.5538043155757234E-3</v>
      </c>
      <c r="Z28" s="49">
        <f t="shared" si="45"/>
        <v>6.7635010936984707E-3</v>
      </c>
      <c r="AA28" s="49">
        <f t="shared" si="45"/>
        <v>4.3048332752450742E-3</v>
      </c>
      <c r="AB28" s="49">
        <f t="shared" si="45"/>
        <v>1.1817199218698372E-2</v>
      </c>
      <c r="AC28" s="49">
        <f t="shared" si="45"/>
        <v>4.3855385752062954E-3</v>
      </c>
      <c r="AD28" s="49">
        <f t="shared" si="45"/>
        <v>0</v>
      </c>
      <c r="AE28" s="49">
        <f t="shared" si="45"/>
        <v>1.8316836844954438E-3</v>
      </c>
      <c r="AF28" s="49">
        <f t="shared" si="45"/>
        <v>0</v>
      </c>
      <c r="AG28" s="49">
        <f t="shared" si="45"/>
        <v>0</v>
      </c>
      <c r="AH28" s="49">
        <f t="shared" ref="AH28:AW28" si="46">(AH11/74.71*AH17)*8/AH18</f>
        <v>0</v>
      </c>
      <c r="AI28" s="49">
        <f t="shared" si="46"/>
        <v>0</v>
      </c>
      <c r="AJ28" s="49">
        <f t="shared" si="46"/>
        <v>0</v>
      </c>
      <c r="AK28" s="49">
        <f t="shared" si="46"/>
        <v>0</v>
      </c>
      <c r="AL28" s="49">
        <f t="shared" si="46"/>
        <v>0</v>
      </c>
      <c r="AM28" s="49">
        <f t="shared" si="46"/>
        <v>0</v>
      </c>
      <c r="AN28" s="49">
        <f t="shared" si="46"/>
        <v>3.6511395867825157E-3</v>
      </c>
      <c r="AO28" s="49">
        <f t="shared" si="46"/>
        <v>3.0282105137322919E-3</v>
      </c>
      <c r="AP28" s="49">
        <f t="shared" si="46"/>
        <v>6.1128271958456142E-4</v>
      </c>
      <c r="AQ28" s="49">
        <f t="shared" si="46"/>
        <v>2.4336166761529015E-3</v>
      </c>
      <c r="AR28" s="49">
        <f t="shared" si="46"/>
        <v>1.2018397129288424E-3</v>
      </c>
      <c r="AS28" s="49">
        <f t="shared" si="46"/>
        <v>0</v>
      </c>
      <c r="AT28" s="49">
        <f t="shared" si="46"/>
        <v>0</v>
      </c>
      <c r="AU28" s="49">
        <f t="shared" si="46"/>
        <v>0</v>
      </c>
      <c r="AV28" s="49">
        <f t="shared" si="46"/>
        <v>0</v>
      </c>
      <c r="AW28" s="49">
        <f t="shared" si="46"/>
        <v>1.2018397129288424E-3</v>
      </c>
      <c r="AX28" s="49">
        <f t="shared" ref="AX28:BM28" si="47">(AX11/74.71*AX17)*8/AX18</f>
        <v>0</v>
      </c>
      <c r="AY28" s="49">
        <f t="shared" si="47"/>
        <v>1.8314483685905956E-3</v>
      </c>
      <c r="AZ28" s="49">
        <f t="shared" si="47"/>
        <v>0</v>
      </c>
      <c r="BA28" s="49">
        <f t="shared" si="47"/>
        <v>1.8435087009031498E-3</v>
      </c>
      <c r="BB28" s="49">
        <f t="shared" si="47"/>
        <v>1.858900073302368E-3</v>
      </c>
      <c r="BC28" s="49">
        <f t="shared" si="47"/>
        <v>4.1468521765989485E-3</v>
      </c>
      <c r="BD28" s="49">
        <f t="shared" si="47"/>
        <v>1.1961023686386134E-3</v>
      </c>
      <c r="BE28" s="49">
        <f t="shared" si="47"/>
        <v>1.8321736599431909E-3</v>
      </c>
      <c r="BF28" s="49">
        <f t="shared" si="47"/>
        <v>4.1012218104501622E-3</v>
      </c>
      <c r="BG28" s="49">
        <f t="shared" si="47"/>
        <v>0</v>
      </c>
      <c r="BH28" s="49">
        <f t="shared" si="47"/>
        <v>0</v>
      </c>
      <c r="BI28" s="49">
        <f t="shared" si="47"/>
        <v>0</v>
      </c>
      <c r="BJ28" s="49">
        <f t="shared" si="47"/>
        <v>1.245693030793476E-3</v>
      </c>
      <c r="BK28" s="49">
        <f t="shared" si="47"/>
        <v>3.1394366113351663E-3</v>
      </c>
      <c r="BL28" s="49">
        <f t="shared" si="47"/>
        <v>0</v>
      </c>
      <c r="BM28" s="49">
        <f t="shared" si="47"/>
        <v>6.350398507662192E-4</v>
      </c>
      <c r="BN28" s="49">
        <f>(BN11/74.71*BN17)*8/BN18</f>
        <v>1.2635107842599756E-3</v>
      </c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</row>
    <row r="29" spans="1:88" s="15" customFormat="1">
      <c r="A29" s="15" t="s">
        <v>23</v>
      </c>
      <c r="B29" s="49">
        <f t="shared" ref="B29:Q29" si="48">(B9/70.94*B17)*8/B18</f>
        <v>3.4314478268666432E-2</v>
      </c>
      <c r="C29" s="49">
        <f t="shared" si="48"/>
        <v>3.0182761446189896E-2</v>
      </c>
      <c r="D29" s="49">
        <f t="shared" si="48"/>
        <v>2.7770015687739832E-2</v>
      </c>
      <c r="E29" s="49">
        <f t="shared" si="48"/>
        <v>1.7417783116409929E-2</v>
      </c>
      <c r="F29" s="49">
        <f t="shared" si="48"/>
        <v>5.0935419161957492E-2</v>
      </c>
      <c r="G29" s="49">
        <f t="shared" si="48"/>
        <v>4.3704500730989804E-2</v>
      </c>
      <c r="H29" s="49">
        <f t="shared" si="48"/>
        <v>4.0066193905560939E-2</v>
      </c>
      <c r="I29" s="49">
        <f t="shared" si="48"/>
        <v>5.287957843385261E-2</v>
      </c>
      <c r="J29" s="49">
        <f t="shared" si="48"/>
        <v>4.785141373205986E-2</v>
      </c>
      <c r="K29" s="49">
        <f t="shared" si="48"/>
        <v>4.3800978017906229E-2</v>
      </c>
      <c r="L29" s="49">
        <f t="shared" si="48"/>
        <v>4.2579315062685669E-2</v>
      </c>
      <c r="M29" s="49">
        <f t="shared" si="48"/>
        <v>4.7226183688864623E-2</v>
      </c>
      <c r="N29" s="49">
        <f t="shared" si="48"/>
        <v>7.6724086979688008E-2</v>
      </c>
      <c r="O29" s="49">
        <f t="shared" si="48"/>
        <v>7.8689140471238234E-2</v>
      </c>
      <c r="P29" s="49">
        <f t="shared" si="48"/>
        <v>4.5324315903670462E-2</v>
      </c>
      <c r="Q29" s="49">
        <f t="shared" si="48"/>
        <v>3.3131351785573221E-2</v>
      </c>
      <c r="R29" s="49">
        <f t="shared" ref="R29:AG29" si="49">(R9/70.94*R17)*8/R18</f>
        <v>3.9960638634631063E-2</v>
      </c>
      <c r="S29" s="49">
        <f t="shared" si="49"/>
        <v>6.6936441754172932E-2</v>
      </c>
      <c r="T29" s="49">
        <f t="shared" si="49"/>
        <v>0.1299866469316639</v>
      </c>
      <c r="U29" s="49">
        <f t="shared" si="49"/>
        <v>3.0813967093846303E-2</v>
      </c>
      <c r="V29" s="49">
        <f t="shared" si="49"/>
        <v>2.9209856688000729E-2</v>
      </c>
      <c r="W29" s="49">
        <f t="shared" si="49"/>
        <v>2.8829877467142006E-2</v>
      </c>
      <c r="X29" s="49">
        <f t="shared" si="49"/>
        <v>2.9195661266232301E-2</v>
      </c>
      <c r="Y29" s="49">
        <f t="shared" si="49"/>
        <v>2.1581142400267549E-2</v>
      </c>
      <c r="Z29" s="49">
        <f t="shared" si="49"/>
        <v>3.5614686122794809E-2</v>
      </c>
      <c r="AA29" s="49">
        <f t="shared" si="49"/>
        <v>2.849695947423701E-2</v>
      </c>
      <c r="AB29" s="49">
        <f t="shared" si="49"/>
        <v>1.2445206563701093E-2</v>
      </c>
      <c r="AC29" s="49">
        <f t="shared" si="49"/>
        <v>3.299001036627152E-2</v>
      </c>
      <c r="AD29" s="49">
        <f t="shared" si="49"/>
        <v>2.8183548773073542E-2</v>
      </c>
      <c r="AE29" s="49">
        <f t="shared" si="49"/>
        <v>2.5077334999894417E-2</v>
      </c>
      <c r="AF29" s="49">
        <f t="shared" si="49"/>
        <v>1.9754984145667558E-2</v>
      </c>
      <c r="AG29" s="49">
        <f t="shared" si="49"/>
        <v>2.7685924456513359E-2</v>
      </c>
      <c r="AH29" s="49">
        <f t="shared" ref="AH29:AW29" si="50">(AH9/70.94*AH17)*8/AH18</f>
        <v>2.8781513523970584E-2</v>
      </c>
      <c r="AI29" s="49">
        <f t="shared" si="50"/>
        <v>2.6229252963579291E-2</v>
      </c>
      <c r="AJ29" s="49">
        <f t="shared" si="50"/>
        <v>3.397963693338879E-2</v>
      </c>
      <c r="AK29" s="49">
        <f t="shared" si="50"/>
        <v>1.9752617634818347E-2</v>
      </c>
      <c r="AL29" s="49">
        <f t="shared" si="50"/>
        <v>3.5296080403134499E-2</v>
      </c>
      <c r="AM29" s="49">
        <f t="shared" si="50"/>
        <v>3.9101816759996896E-2</v>
      </c>
      <c r="AN29" s="49">
        <f t="shared" si="50"/>
        <v>2.8838804468056291E-2</v>
      </c>
      <c r="AO29" s="49">
        <f t="shared" si="50"/>
        <v>7.0161084925016479E-2</v>
      </c>
      <c r="AP29" s="49">
        <f t="shared" si="50"/>
        <v>3.0900884339551786E-2</v>
      </c>
      <c r="AQ29" s="49">
        <f t="shared" si="50"/>
        <v>2.3707265186739428E-2</v>
      </c>
      <c r="AR29" s="49">
        <f t="shared" si="50"/>
        <v>4.9362677659481796E-2</v>
      </c>
      <c r="AS29" s="49">
        <f t="shared" si="50"/>
        <v>2.7642557216701513E-2</v>
      </c>
      <c r="AT29" s="49">
        <f t="shared" si="50"/>
        <v>7.7881269185476595E-2</v>
      </c>
      <c r="AU29" s="49">
        <f t="shared" si="50"/>
        <v>2.8020516189691917E-2</v>
      </c>
      <c r="AV29" s="49">
        <f t="shared" si="50"/>
        <v>0.12022464198255745</v>
      </c>
      <c r="AW29" s="49">
        <f t="shared" si="50"/>
        <v>4.9362677659481796E-2</v>
      </c>
      <c r="AX29" s="49">
        <f t="shared" ref="AX29:BM29" si="51">(AX9/70.94*AX17)*8/AX18</f>
        <v>3.7805832647538964E-2</v>
      </c>
      <c r="AY29" s="49">
        <f t="shared" si="51"/>
        <v>1.3501445634646515E-2</v>
      </c>
      <c r="AZ29" s="49">
        <f t="shared" si="51"/>
        <v>1.2875881626365953E-3</v>
      </c>
      <c r="BA29" s="49">
        <f t="shared" si="51"/>
        <v>2.8475028389986234E-2</v>
      </c>
      <c r="BB29" s="49">
        <f t="shared" si="51"/>
        <v>3.1323016515685351E-2</v>
      </c>
      <c r="BC29" s="49">
        <f t="shared" si="51"/>
        <v>4.3672304216761694E-3</v>
      </c>
      <c r="BD29" s="49">
        <f t="shared" si="51"/>
        <v>5.6685034652446944E-3</v>
      </c>
      <c r="BE29" s="49">
        <f t="shared" si="51"/>
        <v>6.6890781834287205E-2</v>
      </c>
      <c r="BF29" s="49">
        <f t="shared" si="51"/>
        <v>0</v>
      </c>
      <c r="BG29" s="49">
        <f t="shared" si="51"/>
        <v>1.0539052140572045E-2</v>
      </c>
      <c r="BH29" s="49">
        <f t="shared" si="51"/>
        <v>1.6302287795813001E-2</v>
      </c>
      <c r="BI29" s="49">
        <f t="shared" si="51"/>
        <v>0.1234784691915293</v>
      </c>
      <c r="BJ29" s="49">
        <f t="shared" si="51"/>
        <v>0.13315719231116332</v>
      </c>
      <c r="BK29" s="49">
        <f t="shared" si="51"/>
        <v>8.6624464362851386E-2</v>
      </c>
      <c r="BL29" s="49">
        <f t="shared" si="51"/>
        <v>1.3623787713632561E-2</v>
      </c>
      <c r="BM29" s="49">
        <f t="shared" si="51"/>
        <v>0.17455369202768883</v>
      </c>
      <c r="BN29" s="49">
        <f>(BN9/70.94*BN17)*8/BN18</f>
        <v>6.9194224922290173E-2</v>
      </c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</row>
    <row r="30" spans="1:88" s="15" customFormat="1">
      <c r="A30" s="15" t="s">
        <v>26</v>
      </c>
      <c r="B30" s="49">
        <f t="shared" ref="B30:Q30" si="52">(B6/56.08*B17)*8/B18</f>
        <v>0.10737093946414629</v>
      </c>
      <c r="C30" s="49">
        <f t="shared" si="52"/>
        <v>0.60276523733898069</v>
      </c>
      <c r="D30" s="49">
        <f t="shared" si="52"/>
        <v>0.76629093333825082</v>
      </c>
      <c r="E30" s="49">
        <f t="shared" si="52"/>
        <v>0.9882263657808974</v>
      </c>
      <c r="F30" s="49">
        <f t="shared" si="52"/>
        <v>0.96893002284144847</v>
      </c>
      <c r="G30" s="49">
        <f t="shared" si="52"/>
        <v>0.71535773535246705</v>
      </c>
      <c r="H30" s="49">
        <f t="shared" si="52"/>
        <v>0.81092604726404927</v>
      </c>
      <c r="I30" s="49">
        <f t="shared" si="52"/>
        <v>0.63873258613095107</v>
      </c>
      <c r="J30" s="49">
        <f t="shared" si="52"/>
        <v>0.83680037538695451</v>
      </c>
      <c r="K30" s="49">
        <f t="shared" si="52"/>
        <v>0.80096140941518246</v>
      </c>
      <c r="L30" s="49">
        <f t="shared" si="52"/>
        <v>0.56799845484282652</v>
      </c>
      <c r="M30" s="49">
        <f t="shared" si="52"/>
        <v>0.5859441104576264</v>
      </c>
      <c r="N30" s="49">
        <f t="shared" si="52"/>
        <v>0.6859602524696532</v>
      </c>
      <c r="O30" s="49">
        <f t="shared" si="52"/>
        <v>0.86591775958585804</v>
      </c>
      <c r="P30" s="49">
        <f t="shared" si="52"/>
        <v>0.58464825059508074</v>
      </c>
      <c r="Q30" s="49">
        <f t="shared" si="52"/>
        <v>0.65847766383230577</v>
      </c>
      <c r="R30" s="49">
        <f t="shared" ref="R30:AG30" si="53">(R6/56.08*R17)*8/R18</f>
        <v>0.55203102734801202</v>
      </c>
      <c r="S30" s="49">
        <f t="shared" si="53"/>
        <v>0.64726122478578285</v>
      </c>
      <c r="T30" s="49">
        <f t="shared" si="53"/>
        <v>0.86714500760571001</v>
      </c>
      <c r="U30" s="49">
        <f t="shared" si="53"/>
        <v>0.46385020729468146</v>
      </c>
      <c r="V30" s="49">
        <f t="shared" si="53"/>
        <v>0.37185693743752207</v>
      </c>
      <c r="W30" s="49">
        <f t="shared" si="53"/>
        <v>0.46478803571035049</v>
      </c>
      <c r="X30" s="49">
        <f t="shared" si="53"/>
        <v>0.50242754297354875</v>
      </c>
      <c r="Y30" s="49">
        <f t="shared" si="53"/>
        <v>0.57329335020282779</v>
      </c>
      <c r="Z30" s="49">
        <f t="shared" si="53"/>
        <v>0.78553984385146869</v>
      </c>
      <c r="AA30" s="49">
        <f t="shared" si="53"/>
        <v>0.91840584717439422</v>
      </c>
      <c r="AB30" s="49">
        <f t="shared" si="53"/>
        <v>0.96777529266331919</v>
      </c>
      <c r="AC30" s="49">
        <f t="shared" si="53"/>
        <v>0.85967213817574928</v>
      </c>
      <c r="AD30" s="49">
        <f t="shared" si="53"/>
        <v>0.89958071969801989</v>
      </c>
      <c r="AE30" s="49">
        <f t="shared" si="53"/>
        <v>0.97688392041401684</v>
      </c>
      <c r="AF30" s="49">
        <f t="shared" si="53"/>
        <v>0.88213401761530108</v>
      </c>
      <c r="AG30" s="49">
        <f t="shared" si="53"/>
        <v>0.85887535891473477</v>
      </c>
      <c r="AH30" s="49">
        <f t="shared" ref="AH30:AW30" si="54">(AH6/56.08*AH17)*8/AH18</f>
        <v>1.0169416011950831</v>
      </c>
      <c r="AI30" s="49">
        <f t="shared" si="54"/>
        <v>0.6142243366507617</v>
      </c>
      <c r="AJ30" s="49">
        <f t="shared" si="54"/>
        <v>0.577438900010388</v>
      </c>
      <c r="AK30" s="49">
        <f t="shared" si="54"/>
        <v>0.89145878507978193</v>
      </c>
      <c r="AL30" s="49">
        <f t="shared" si="54"/>
        <v>0.86781004925445704</v>
      </c>
      <c r="AM30" s="49">
        <f t="shared" si="54"/>
        <v>0.6326472333868276</v>
      </c>
      <c r="AN30" s="49">
        <f t="shared" si="54"/>
        <v>0.87958467904019877</v>
      </c>
      <c r="AO30" s="49">
        <f t="shared" si="54"/>
        <v>0.91334155373902803</v>
      </c>
      <c r="AP30" s="49">
        <f t="shared" si="54"/>
        <v>0.51629997994691634</v>
      </c>
      <c r="AQ30" s="49">
        <f t="shared" si="54"/>
        <v>0.90372808751360711</v>
      </c>
      <c r="AR30" s="49">
        <f t="shared" si="54"/>
        <v>0.93423932114880903</v>
      </c>
      <c r="AS30" s="49">
        <f t="shared" si="54"/>
        <v>0.66763039111495748</v>
      </c>
      <c r="AT30" s="49">
        <f t="shared" si="54"/>
        <v>0.95342760981607422</v>
      </c>
      <c r="AU30" s="49">
        <f t="shared" si="54"/>
        <v>0.85874424366065116</v>
      </c>
      <c r="AV30" s="49">
        <f t="shared" si="54"/>
        <v>0.97154255876800188</v>
      </c>
      <c r="AW30" s="49">
        <f t="shared" si="54"/>
        <v>0.93423932114880903</v>
      </c>
      <c r="AX30" s="49">
        <f t="shared" ref="AX30:BM30" si="55">(AX6/56.08*AX17)*8/AX18</f>
        <v>0.72789093657932402</v>
      </c>
      <c r="AY30" s="49">
        <f t="shared" si="55"/>
        <v>0.50342503099841118</v>
      </c>
      <c r="AZ30" s="49">
        <f t="shared" si="55"/>
        <v>0.60997491698308315</v>
      </c>
      <c r="BA30" s="49">
        <f t="shared" si="55"/>
        <v>0.55012824268834237</v>
      </c>
      <c r="BB30" s="49">
        <f t="shared" si="55"/>
        <v>0.53986263437695325</v>
      </c>
      <c r="BC30" s="49">
        <f t="shared" si="55"/>
        <v>0.2833255198563811</v>
      </c>
      <c r="BD30" s="49">
        <f t="shared" si="55"/>
        <v>0.28044761414290981</v>
      </c>
      <c r="BE30" s="49">
        <f t="shared" si="55"/>
        <v>0.49142025236062109</v>
      </c>
      <c r="BF30" s="49">
        <f t="shared" si="55"/>
        <v>0.27708582106646046</v>
      </c>
      <c r="BG30" s="49">
        <f t="shared" si="55"/>
        <v>0.27447567088850305</v>
      </c>
      <c r="BH30" s="49">
        <f t="shared" si="55"/>
        <v>0.38705992576721943</v>
      </c>
      <c r="BI30" s="49">
        <f t="shared" si="55"/>
        <v>0.54062181891992334</v>
      </c>
      <c r="BJ30" s="49">
        <f t="shared" si="55"/>
        <v>0.55842754832810926</v>
      </c>
      <c r="BK30" s="49">
        <f t="shared" si="55"/>
        <v>0.69761931490797824</v>
      </c>
      <c r="BL30" s="49">
        <f t="shared" si="55"/>
        <v>0.49075296960315729</v>
      </c>
      <c r="BM30" s="49">
        <f t="shared" si="55"/>
        <v>0.75717235002525118</v>
      </c>
      <c r="BN30" s="49">
        <f>(BN6/56.08*BN17)*8/BN18</f>
        <v>0.66656862899530778</v>
      </c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</row>
    <row r="31" spans="1:88" s="15" customFormat="1">
      <c r="A31" s="15" t="s">
        <v>27</v>
      </c>
      <c r="B31" s="49">
        <f t="shared" ref="B31:Q31" si="56">(B12/61.982*B17*2)*8/B18</f>
        <v>2.4594164680514941E-3</v>
      </c>
      <c r="C31" s="49">
        <f t="shared" si="56"/>
        <v>1.4699978765233223E-3</v>
      </c>
      <c r="D31" s="49">
        <f t="shared" si="56"/>
        <v>1.1826418700032275E-2</v>
      </c>
      <c r="E31" s="49">
        <f t="shared" si="56"/>
        <v>2.9533485451047796E-3</v>
      </c>
      <c r="F31" s="49">
        <f t="shared" si="56"/>
        <v>0</v>
      </c>
      <c r="G31" s="49">
        <f t="shared" si="56"/>
        <v>0</v>
      </c>
      <c r="H31" s="49">
        <f t="shared" si="56"/>
        <v>0</v>
      </c>
      <c r="I31" s="49">
        <f t="shared" si="56"/>
        <v>3.6903685000774261E-2</v>
      </c>
      <c r="J31" s="49">
        <f t="shared" si="56"/>
        <v>1.4801940276262971E-3</v>
      </c>
      <c r="K31" s="49">
        <f t="shared" si="56"/>
        <v>1.0321160443227291E-2</v>
      </c>
      <c r="L31" s="49">
        <f t="shared" si="56"/>
        <v>0</v>
      </c>
      <c r="M31" s="49">
        <f t="shared" si="56"/>
        <v>4.4425961990132226E-3</v>
      </c>
      <c r="N31" s="49">
        <f t="shared" si="56"/>
        <v>1.0418455853605795E-2</v>
      </c>
      <c r="O31" s="49">
        <f t="shared" si="56"/>
        <v>8.786512567424595E-3</v>
      </c>
      <c r="P31" s="49">
        <f t="shared" si="56"/>
        <v>0</v>
      </c>
      <c r="Q31" s="49">
        <f t="shared" si="56"/>
        <v>0</v>
      </c>
      <c r="R31" s="49">
        <f t="shared" ref="R31:AG31" si="57">(R12/61.982*R17*2)*8/R18</f>
        <v>0</v>
      </c>
      <c r="S31" s="49">
        <f t="shared" si="57"/>
        <v>0</v>
      </c>
      <c r="T31" s="49">
        <f t="shared" si="57"/>
        <v>0</v>
      </c>
      <c r="U31" s="49">
        <f t="shared" si="57"/>
        <v>8.4641715038719229E-3</v>
      </c>
      <c r="V31" s="49">
        <f t="shared" si="57"/>
        <v>2.8452285508377127E-3</v>
      </c>
      <c r="W31" s="49">
        <f t="shared" si="57"/>
        <v>1.1232864489932513E-2</v>
      </c>
      <c r="X31" s="49">
        <f t="shared" si="57"/>
        <v>5.5691980742433806E-3</v>
      </c>
      <c r="Y31" s="49">
        <f t="shared" si="57"/>
        <v>6.8611596999262336E-3</v>
      </c>
      <c r="Z31" s="49">
        <f t="shared" si="57"/>
        <v>4.4467558033876057E-3</v>
      </c>
      <c r="AA31" s="49">
        <f t="shared" si="57"/>
        <v>1.1860184071635891E-2</v>
      </c>
      <c r="AB31" s="49">
        <f t="shared" si="57"/>
        <v>0</v>
      </c>
      <c r="AC31" s="49">
        <f t="shared" si="57"/>
        <v>0</v>
      </c>
      <c r="AD31" s="49">
        <f t="shared" si="57"/>
        <v>3.0006325166598807E-3</v>
      </c>
      <c r="AE31" s="49">
        <f t="shared" si="57"/>
        <v>2.9437597596862443E-3</v>
      </c>
      <c r="AF31" s="49">
        <f t="shared" si="57"/>
        <v>3.0146786170041984E-3</v>
      </c>
      <c r="AG31" s="49">
        <f t="shared" si="57"/>
        <v>0</v>
      </c>
      <c r="AH31" s="49">
        <f t="shared" ref="AH31:AW31" si="58">(AH12/61.982*AH17*2)*8/AH18</f>
        <v>4.4919798623144404E-3</v>
      </c>
      <c r="AI31" s="49">
        <f t="shared" si="58"/>
        <v>2.9287860995620518E-3</v>
      </c>
      <c r="AJ31" s="49">
        <f t="shared" si="58"/>
        <v>4.4027062830558853E-3</v>
      </c>
      <c r="AK31" s="49">
        <f t="shared" si="58"/>
        <v>5.3966006484211855E-2</v>
      </c>
      <c r="AL31" s="49">
        <f t="shared" si="58"/>
        <v>0</v>
      </c>
      <c r="AM31" s="49">
        <f t="shared" si="58"/>
        <v>2.8872928570877286E-3</v>
      </c>
      <c r="AN31" s="49">
        <f t="shared" si="58"/>
        <v>0</v>
      </c>
      <c r="AO31" s="49">
        <f t="shared" si="58"/>
        <v>7.300106723917895E-3</v>
      </c>
      <c r="AP31" s="49">
        <f t="shared" si="58"/>
        <v>5.8944767164870538E-3</v>
      </c>
      <c r="AQ31" s="49">
        <f t="shared" si="58"/>
        <v>0</v>
      </c>
      <c r="AR31" s="49">
        <f t="shared" si="58"/>
        <v>1.7383649114823103E-2</v>
      </c>
      <c r="AS31" s="49">
        <f t="shared" si="58"/>
        <v>0</v>
      </c>
      <c r="AT31" s="49">
        <f t="shared" si="58"/>
        <v>0</v>
      </c>
      <c r="AU31" s="49">
        <f t="shared" si="58"/>
        <v>8.7464194230733178E-3</v>
      </c>
      <c r="AV31" s="49">
        <f t="shared" si="58"/>
        <v>5.8553280068562282E-3</v>
      </c>
      <c r="AW31" s="49">
        <f t="shared" si="58"/>
        <v>1.7383649114823103E-2</v>
      </c>
      <c r="AX31" s="49">
        <f t="shared" ref="AX31:BM31" si="59">(AX12/61.982*AX17*2)*8/AX18</f>
        <v>4.400313761977504E-3</v>
      </c>
      <c r="AY31" s="49">
        <f t="shared" si="59"/>
        <v>0</v>
      </c>
      <c r="AZ31" s="49">
        <f t="shared" si="59"/>
        <v>2.9473558212848913E-3</v>
      </c>
      <c r="BA31" s="49">
        <f t="shared" si="59"/>
        <v>1.0369674478733829E-2</v>
      </c>
      <c r="BB31" s="49">
        <f t="shared" si="59"/>
        <v>4.4812501847768674E-3</v>
      </c>
      <c r="BC31" s="49">
        <f t="shared" si="59"/>
        <v>4.284349734444204E-3</v>
      </c>
      <c r="BD31" s="49">
        <f t="shared" si="59"/>
        <v>1.4417219186375208E-3</v>
      </c>
      <c r="BE31" s="49">
        <f t="shared" si="59"/>
        <v>0</v>
      </c>
      <c r="BF31" s="49">
        <f t="shared" si="59"/>
        <v>1.4124021326870548E-3</v>
      </c>
      <c r="BG31" s="49">
        <f t="shared" si="59"/>
        <v>0</v>
      </c>
      <c r="BH31" s="49">
        <f t="shared" si="59"/>
        <v>5.7410429143695514E-3</v>
      </c>
      <c r="BI31" s="49">
        <f t="shared" si="59"/>
        <v>1.4645004916933244E-3</v>
      </c>
      <c r="BJ31" s="49">
        <f t="shared" si="59"/>
        <v>1.5014960203055818E-3</v>
      </c>
      <c r="BK31" s="49">
        <f t="shared" si="59"/>
        <v>4.5409436784779504E-3</v>
      </c>
      <c r="BL31" s="49">
        <f t="shared" si="59"/>
        <v>8.9101582524428197E-3</v>
      </c>
      <c r="BM31" s="49">
        <f t="shared" si="59"/>
        <v>7.6544524621251714E-3</v>
      </c>
      <c r="BN31" s="49">
        <f>(BN12/61.982*BN17*2)*8/BN18</f>
        <v>1.2183781187062408E-2</v>
      </c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</row>
    <row r="32" spans="1:88" s="15" customFormat="1">
      <c r="A32" s="15" t="s">
        <v>28</v>
      </c>
      <c r="B32" s="49">
        <f t="shared" ref="B32:Q32" si="60">(B5/94.2*B17*2)*8/B18</f>
        <v>1.2136906968373221E-3</v>
      </c>
      <c r="C32" s="49">
        <f t="shared" si="60"/>
        <v>2.9017009039066419E-3</v>
      </c>
      <c r="D32" s="49">
        <f t="shared" si="60"/>
        <v>0</v>
      </c>
      <c r="E32" s="49">
        <f t="shared" si="60"/>
        <v>2.9148797694694977E-3</v>
      </c>
      <c r="F32" s="49">
        <f t="shared" si="60"/>
        <v>0</v>
      </c>
      <c r="G32" s="49">
        <f t="shared" si="60"/>
        <v>0</v>
      </c>
      <c r="H32" s="49">
        <f t="shared" si="60"/>
        <v>2.9678352257079387E-3</v>
      </c>
      <c r="I32" s="49">
        <f t="shared" si="60"/>
        <v>9.7127991665307443E-4</v>
      </c>
      <c r="J32" s="49">
        <f t="shared" si="60"/>
        <v>0</v>
      </c>
      <c r="K32" s="49">
        <f t="shared" si="60"/>
        <v>3.8806561516051804E-3</v>
      </c>
      <c r="L32" s="49">
        <f t="shared" si="60"/>
        <v>0</v>
      </c>
      <c r="M32" s="49">
        <f t="shared" si="60"/>
        <v>4.8719214014019381E-3</v>
      </c>
      <c r="N32" s="49">
        <f t="shared" si="60"/>
        <v>2.9379287111837779E-3</v>
      </c>
      <c r="O32" s="49">
        <f t="shared" si="60"/>
        <v>0</v>
      </c>
      <c r="P32" s="49">
        <f t="shared" si="60"/>
        <v>2.8844594691005494E-3</v>
      </c>
      <c r="Q32" s="49">
        <f t="shared" si="60"/>
        <v>0</v>
      </c>
      <c r="R32" s="49">
        <f t="shared" ref="R32:AG32" si="61">(R5/94.2*R17*2)*8/R18</f>
        <v>2.8660476238405903E-3</v>
      </c>
      <c r="S32" s="49">
        <f t="shared" si="61"/>
        <v>0</v>
      </c>
      <c r="T32" s="49">
        <f t="shared" si="61"/>
        <v>9.7403140701294362E-4</v>
      </c>
      <c r="U32" s="49">
        <f t="shared" si="61"/>
        <v>0</v>
      </c>
      <c r="V32" s="49">
        <f t="shared" si="61"/>
        <v>0</v>
      </c>
      <c r="W32" s="49">
        <f t="shared" si="61"/>
        <v>0</v>
      </c>
      <c r="X32" s="49">
        <f t="shared" si="61"/>
        <v>0</v>
      </c>
      <c r="Y32" s="49">
        <f t="shared" si="61"/>
        <v>1.8058106179228357E-3</v>
      </c>
      <c r="Z32" s="49">
        <f t="shared" si="61"/>
        <v>0</v>
      </c>
      <c r="AA32" s="49">
        <f t="shared" si="61"/>
        <v>3.9018998361366021E-3</v>
      </c>
      <c r="AB32" s="49">
        <f t="shared" si="61"/>
        <v>0</v>
      </c>
      <c r="AC32" s="49">
        <f t="shared" si="61"/>
        <v>0</v>
      </c>
      <c r="AD32" s="49">
        <f t="shared" si="61"/>
        <v>0</v>
      </c>
      <c r="AE32" s="49">
        <f t="shared" si="61"/>
        <v>1.9369439217077791E-3</v>
      </c>
      <c r="AF32" s="49">
        <f t="shared" si="61"/>
        <v>1.9836073252564148E-3</v>
      </c>
      <c r="AG32" s="49">
        <f t="shared" si="61"/>
        <v>0</v>
      </c>
      <c r="AH32" s="49">
        <f t="shared" ref="AH32:AW32" si="62">(AH5/94.2*AH17*2)*8/AH18</f>
        <v>0</v>
      </c>
      <c r="AI32" s="49">
        <f t="shared" si="62"/>
        <v>5.7812745230272329E-3</v>
      </c>
      <c r="AJ32" s="49">
        <f t="shared" si="62"/>
        <v>0</v>
      </c>
      <c r="AK32" s="49">
        <f t="shared" si="62"/>
        <v>1.9193900349483099E-3</v>
      </c>
      <c r="AL32" s="49">
        <f t="shared" si="62"/>
        <v>0</v>
      </c>
      <c r="AM32" s="49">
        <f t="shared" si="62"/>
        <v>9.4989482944804449E-4</v>
      </c>
      <c r="AN32" s="49">
        <f t="shared" si="62"/>
        <v>0</v>
      </c>
      <c r="AO32" s="49">
        <f t="shared" si="62"/>
        <v>9.6066924620356463E-4</v>
      </c>
      <c r="AP32" s="49">
        <f t="shared" si="62"/>
        <v>0</v>
      </c>
      <c r="AQ32" s="49">
        <f t="shared" si="62"/>
        <v>0</v>
      </c>
      <c r="AR32" s="49">
        <f t="shared" si="62"/>
        <v>0</v>
      </c>
      <c r="AS32" s="49">
        <f t="shared" si="62"/>
        <v>0</v>
      </c>
      <c r="AT32" s="49">
        <f t="shared" si="62"/>
        <v>5.8165997115520443E-3</v>
      </c>
      <c r="AU32" s="49">
        <f t="shared" si="62"/>
        <v>1.9183318070804328E-3</v>
      </c>
      <c r="AV32" s="49">
        <f t="shared" si="62"/>
        <v>5.779059562435713E-3</v>
      </c>
      <c r="AW32" s="49">
        <f t="shared" si="62"/>
        <v>0</v>
      </c>
      <c r="AX32" s="49">
        <f t="shared" ref="AX32:BM32" si="63">(AX5/94.2*AX17*2)*8/AX18</f>
        <v>9.6511057181489614E-4</v>
      </c>
      <c r="AY32" s="49">
        <f t="shared" si="63"/>
        <v>9.6834754152444024E-4</v>
      </c>
      <c r="AZ32" s="49">
        <f t="shared" si="63"/>
        <v>0</v>
      </c>
      <c r="BA32" s="49">
        <f t="shared" si="63"/>
        <v>0</v>
      </c>
      <c r="BB32" s="49">
        <f t="shared" si="63"/>
        <v>0</v>
      </c>
      <c r="BC32" s="49">
        <f t="shared" si="63"/>
        <v>9.3967645166426271E-4</v>
      </c>
      <c r="BD32" s="49">
        <f t="shared" si="63"/>
        <v>0</v>
      </c>
      <c r="BE32" s="49">
        <f t="shared" si="63"/>
        <v>9.6873102713627599E-4</v>
      </c>
      <c r="BF32" s="49">
        <f t="shared" si="63"/>
        <v>0</v>
      </c>
      <c r="BG32" s="49">
        <f t="shared" si="63"/>
        <v>0</v>
      </c>
      <c r="BH32" s="49">
        <f t="shared" si="63"/>
        <v>3.7775087252489761E-3</v>
      </c>
      <c r="BI32" s="49">
        <f t="shared" si="63"/>
        <v>0</v>
      </c>
      <c r="BJ32" s="49">
        <f t="shared" si="63"/>
        <v>9.8795887824395514E-4</v>
      </c>
      <c r="BK32" s="49">
        <f t="shared" si="63"/>
        <v>9.9595460396114744E-4</v>
      </c>
      <c r="BL32" s="49">
        <f t="shared" si="63"/>
        <v>0</v>
      </c>
      <c r="BM32" s="49">
        <f t="shared" si="63"/>
        <v>1.0072999416293892E-3</v>
      </c>
      <c r="BN32" s="49">
        <f>(BN5/94.2*BN17*2)*8/BN18</f>
        <v>0</v>
      </c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</row>
    <row r="33" spans="1:88" s="92" customFormat="1">
      <c r="A33" s="92" t="s">
        <v>210</v>
      </c>
      <c r="B33" s="36">
        <f t="shared" ref="B33:Q33" si="64">(B26+B29)/(B26+B27+B29+B30)</f>
        <v>0.76455969669163659</v>
      </c>
      <c r="C33" s="36">
        <f t="shared" si="64"/>
        <v>0.5076115206913494</v>
      </c>
      <c r="D33" s="36">
        <f t="shared" si="64"/>
        <v>0.48097276761889302</v>
      </c>
      <c r="E33" s="36">
        <f t="shared" si="64"/>
        <v>0.45895052347213156</v>
      </c>
      <c r="F33" s="36">
        <f t="shared" si="64"/>
        <v>0.47498219602794867</v>
      </c>
      <c r="G33" s="36">
        <f t="shared" si="64"/>
        <v>0.56648089126354917</v>
      </c>
      <c r="H33" s="36">
        <f t="shared" si="64"/>
        <v>0.54731606959218004</v>
      </c>
      <c r="I33" s="36">
        <f t="shared" si="64"/>
        <v>0.58020773098140788</v>
      </c>
      <c r="J33" s="36">
        <f t="shared" si="64"/>
        <v>0.54155827126421119</v>
      </c>
      <c r="K33" s="36">
        <f t="shared" si="64"/>
        <v>0.55410696159446515</v>
      </c>
      <c r="L33" s="36">
        <f t="shared" si="64"/>
        <v>0.49340399188338774</v>
      </c>
      <c r="M33" s="36">
        <f t="shared" si="64"/>
        <v>0.50835682955997996</v>
      </c>
      <c r="N33" s="36">
        <f t="shared" si="64"/>
        <v>0.56066709818716665</v>
      </c>
      <c r="O33" s="36">
        <f t="shared" si="64"/>
        <v>0.470534672531773</v>
      </c>
      <c r="P33" s="36">
        <f t="shared" si="64"/>
        <v>0.48548087439176402</v>
      </c>
      <c r="Q33" s="36">
        <f t="shared" si="64"/>
        <v>0.48544421591599779</v>
      </c>
      <c r="R33" s="36">
        <f t="shared" ref="R33:AG33" si="65">(R26+R29)/(R26+R27+R29+R30)</f>
        <v>0.4939016147473394</v>
      </c>
      <c r="S33" s="36">
        <f t="shared" si="65"/>
        <v>0.50867660378867607</v>
      </c>
      <c r="T33" s="36">
        <f t="shared" si="65"/>
        <v>0.49785632534620278</v>
      </c>
      <c r="U33" s="36">
        <f t="shared" si="65"/>
        <v>0.45604000310625675</v>
      </c>
      <c r="V33" s="36">
        <f t="shared" si="65"/>
        <v>0.4853164574720788</v>
      </c>
      <c r="W33" s="36">
        <f t="shared" si="65"/>
        <v>0.43951393458391252</v>
      </c>
      <c r="X33" s="36">
        <f t="shared" si="65"/>
        <v>0.3883434276106128</v>
      </c>
      <c r="Y33" s="36">
        <f t="shared" si="65"/>
        <v>0.3966552872119069</v>
      </c>
      <c r="Z33" s="36">
        <f t="shared" si="65"/>
        <v>0.58630532119300094</v>
      </c>
      <c r="AA33" s="36">
        <f t="shared" si="65"/>
        <v>0.54792972539185769</v>
      </c>
      <c r="AB33" s="36">
        <f t="shared" si="65"/>
        <v>0.54616286251002077</v>
      </c>
      <c r="AC33" s="36">
        <f t="shared" si="65"/>
        <v>0.54348463886938814</v>
      </c>
      <c r="AD33" s="36">
        <f t="shared" si="65"/>
        <v>0.54319700381784475</v>
      </c>
      <c r="AE33" s="36">
        <f t="shared" si="65"/>
        <v>0.5209483819630023</v>
      </c>
      <c r="AF33" s="36">
        <f t="shared" si="65"/>
        <v>0.5591682214802961</v>
      </c>
      <c r="AG33" s="36">
        <f t="shared" si="65"/>
        <v>0.55700400711064257</v>
      </c>
      <c r="AH33" s="36">
        <f t="shared" ref="AH33:AW33" si="66">(AH26+AH29)/(AH26+AH27+AH29+AH30)</f>
        <v>0.52160433968859521</v>
      </c>
      <c r="AI33" s="36">
        <f t="shared" si="66"/>
        <v>0.47518023693971989</v>
      </c>
      <c r="AJ33" s="36">
        <f t="shared" si="66"/>
        <v>0.49037717222174954</v>
      </c>
      <c r="AK33" s="36">
        <f t="shared" si="66"/>
        <v>0.45234448697135415</v>
      </c>
      <c r="AL33" s="36">
        <f t="shared" si="66"/>
        <v>0.45824238161238912</v>
      </c>
      <c r="AM33" s="36">
        <f t="shared" si="66"/>
        <v>0.47727947068756071</v>
      </c>
      <c r="AN33" s="36">
        <f t="shared" si="66"/>
        <v>0.49484708008120104</v>
      </c>
      <c r="AO33" s="36">
        <f t="shared" si="66"/>
        <v>0.47821889180217264</v>
      </c>
      <c r="AP33" s="36">
        <f t="shared" si="66"/>
        <v>0.47890096645983554</v>
      </c>
      <c r="AQ33" s="36">
        <f t="shared" si="66"/>
        <v>0.45871225564795026</v>
      </c>
      <c r="AR33" s="36">
        <f t="shared" si="66"/>
        <v>0.4470238544961086</v>
      </c>
      <c r="AS33" s="36">
        <f t="shared" si="66"/>
        <v>0.46943833685484559</v>
      </c>
      <c r="AT33" s="36">
        <f t="shared" si="66"/>
        <v>0.51986191946083282</v>
      </c>
      <c r="AU33" s="36">
        <f t="shared" si="66"/>
        <v>0.45506017921917463</v>
      </c>
      <c r="AV33" s="36">
        <f t="shared" si="66"/>
        <v>0.49812253587066874</v>
      </c>
      <c r="AW33" s="36">
        <f t="shared" si="66"/>
        <v>0.4470238544961086</v>
      </c>
      <c r="AX33" s="36">
        <f t="shared" ref="AX33:BM33" si="67">(AX26+AX29)/(AX26+AX27+AX29+AX30)</f>
        <v>0.47831538299678589</v>
      </c>
      <c r="AY33" s="36">
        <f t="shared" si="67"/>
        <v>0.4883569404668871</v>
      </c>
      <c r="AZ33" s="36">
        <f t="shared" si="67"/>
        <v>0.50501685795616058</v>
      </c>
      <c r="BA33" s="36">
        <f t="shared" si="67"/>
        <v>0.60076594850184362</v>
      </c>
      <c r="BB33" s="36">
        <f t="shared" si="67"/>
        <v>0.59443139524323219</v>
      </c>
      <c r="BC33" s="36">
        <f t="shared" si="67"/>
        <v>0.4563983111909079</v>
      </c>
      <c r="BD33" s="36">
        <f t="shared" si="67"/>
        <v>0.47088135355049687</v>
      </c>
      <c r="BE33" s="36">
        <f t="shared" si="67"/>
        <v>0.56968183776318759</v>
      </c>
      <c r="BF33" s="36">
        <f t="shared" si="67"/>
        <v>0.46234106213201959</v>
      </c>
      <c r="BG33" s="36">
        <f t="shared" si="67"/>
        <v>0.47075572094234314</v>
      </c>
      <c r="BH33" s="36">
        <f t="shared" si="67"/>
        <v>0.4926144895470726</v>
      </c>
      <c r="BI33" s="36">
        <f t="shared" si="67"/>
        <v>0.58163599294975288</v>
      </c>
      <c r="BJ33" s="36">
        <f t="shared" si="67"/>
        <v>0.57169178041120361</v>
      </c>
      <c r="BK33" s="36">
        <f t="shared" si="67"/>
        <v>0.65587203421709228</v>
      </c>
      <c r="BL33" s="36">
        <f t="shared" si="67"/>
        <v>0.51155985367137025</v>
      </c>
      <c r="BM33" s="36">
        <f t="shared" si="67"/>
        <v>0.66154094564189425</v>
      </c>
      <c r="BN33" s="36">
        <f>(BN26+BN29)/(BN26+BN27+BN29+BN30)</f>
        <v>0.63923357206331644</v>
      </c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</row>
    <row r="34" spans="1:88" s="92" customFormat="1">
      <c r="A34" s="92" t="s">
        <v>211</v>
      </c>
      <c r="B34" s="36">
        <f t="shared" ref="B34:Q34" si="68">B30/(B26+B27+B29+B30)</f>
        <v>3.5847155734786695E-2</v>
      </c>
      <c r="C34" s="36">
        <f t="shared" si="68"/>
        <v>0.20152115248583008</v>
      </c>
      <c r="D34" s="36">
        <f t="shared" si="68"/>
        <v>0.25863091030295532</v>
      </c>
      <c r="E34" s="36">
        <f t="shared" si="68"/>
        <v>0.33441247709013971</v>
      </c>
      <c r="F34" s="36">
        <f t="shared" si="68"/>
        <v>0.32492259272445856</v>
      </c>
      <c r="G34" s="36">
        <f t="shared" si="68"/>
        <v>0.24023581607795469</v>
      </c>
      <c r="H34" s="36">
        <f t="shared" si="68"/>
        <v>0.27367231409481352</v>
      </c>
      <c r="I34" s="36">
        <f t="shared" si="68"/>
        <v>0.21563322903860654</v>
      </c>
      <c r="J34" s="36">
        <f t="shared" si="68"/>
        <v>0.27924269408072033</v>
      </c>
      <c r="K34" s="36">
        <f t="shared" si="68"/>
        <v>0.26825704894150693</v>
      </c>
      <c r="L34" s="36">
        <f t="shared" si="68"/>
        <v>0.19054590013786812</v>
      </c>
      <c r="M34" s="36">
        <f t="shared" si="68"/>
        <v>0.19592301293665043</v>
      </c>
      <c r="N34" s="36">
        <f t="shared" si="68"/>
        <v>0.23156546121428295</v>
      </c>
      <c r="O34" s="36">
        <f t="shared" si="68"/>
        <v>0.28984410140233779</v>
      </c>
      <c r="P34" s="36">
        <f t="shared" si="68"/>
        <v>0.19743364494826435</v>
      </c>
      <c r="Q34" s="36">
        <f t="shared" si="68"/>
        <v>0.22299713525295478</v>
      </c>
      <c r="R34" s="36">
        <f t="shared" ref="R34:AG34" si="69">R30/(R26+R27+R29+R30)</f>
        <v>0.18480245330001149</v>
      </c>
      <c r="S34" s="36">
        <f t="shared" si="69"/>
        <v>0.21576205696337536</v>
      </c>
      <c r="T34" s="36">
        <f t="shared" si="69"/>
        <v>0.29011150327841945</v>
      </c>
      <c r="U34" s="36">
        <f t="shared" si="69"/>
        <v>0.1551551943292977</v>
      </c>
      <c r="V34" s="36">
        <f t="shared" si="69"/>
        <v>0.12421672759940533</v>
      </c>
      <c r="W34" s="36">
        <f t="shared" si="69"/>
        <v>0.15566330321251498</v>
      </c>
      <c r="X34" s="36">
        <f t="shared" si="69"/>
        <v>0.16778732794574222</v>
      </c>
      <c r="Y34" s="36">
        <f t="shared" si="69"/>
        <v>0.19194366471210009</v>
      </c>
      <c r="Z34" s="36">
        <f t="shared" si="69"/>
        <v>0.26497142450715089</v>
      </c>
      <c r="AA34" s="36">
        <f t="shared" si="69"/>
        <v>0.30878317326219018</v>
      </c>
      <c r="AB34" s="36">
        <f t="shared" si="69"/>
        <v>0.32386749980967711</v>
      </c>
      <c r="AC34" s="36">
        <f t="shared" si="69"/>
        <v>0.28807559720820708</v>
      </c>
      <c r="AD34" s="36">
        <f t="shared" si="69"/>
        <v>0.30428641436643239</v>
      </c>
      <c r="AE34" s="36">
        <f t="shared" si="69"/>
        <v>0.32635818766321389</v>
      </c>
      <c r="AF34" s="36">
        <f t="shared" si="69"/>
        <v>0.29562110055156077</v>
      </c>
      <c r="AG34" s="36">
        <f t="shared" si="69"/>
        <v>0.28864498745942496</v>
      </c>
      <c r="AH34" s="36">
        <f t="shared" ref="AH34:AW34" si="70">AH30/(AH26+AH27+AH29+AH30)</f>
        <v>0.34128276347758829</v>
      </c>
      <c r="AI34" s="36">
        <f t="shared" si="70"/>
        <v>0.20697714875040707</v>
      </c>
      <c r="AJ34" s="36">
        <f t="shared" si="70"/>
        <v>0.19528307573805692</v>
      </c>
      <c r="AK34" s="36">
        <f t="shared" si="70"/>
        <v>0.30343628903775499</v>
      </c>
      <c r="AL34" s="36">
        <f t="shared" si="70"/>
        <v>0.29372915303972774</v>
      </c>
      <c r="AM34" s="36">
        <f t="shared" si="70"/>
        <v>0.21149466789837446</v>
      </c>
      <c r="AN34" s="36">
        <f t="shared" si="70"/>
        <v>0.29515898976743771</v>
      </c>
      <c r="AO34" s="36">
        <f t="shared" si="70"/>
        <v>0.31068319252614068</v>
      </c>
      <c r="AP34" s="36">
        <f t="shared" si="70"/>
        <v>0.17454947505274429</v>
      </c>
      <c r="AQ34" s="36">
        <f t="shared" si="70"/>
        <v>0.30373041369091947</v>
      </c>
      <c r="AR34" s="36">
        <f t="shared" si="70"/>
        <v>0.31497408832128237</v>
      </c>
      <c r="AS34" s="36">
        <f t="shared" si="70"/>
        <v>0.22738945781163242</v>
      </c>
      <c r="AT34" s="36">
        <f t="shared" si="70"/>
        <v>0.32315209828899061</v>
      </c>
      <c r="AU34" s="36">
        <f t="shared" si="70"/>
        <v>0.29157235404976378</v>
      </c>
      <c r="AV34" s="36">
        <f t="shared" si="70"/>
        <v>0.3259637504934072</v>
      </c>
      <c r="AW34" s="36">
        <f t="shared" si="70"/>
        <v>0.31497408832128237</v>
      </c>
      <c r="AX34" s="36">
        <f t="shared" ref="AX34:BM34" si="71">AX30/(AX26+AX27+AX29+AX30)</f>
        <v>0.24395918297249267</v>
      </c>
      <c r="AY34" s="36">
        <f t="shared" si="71"/>
        <v>0.16992259196941609</v>
      </c>
      <c r="AZ34" s="36">
        <f t="shared" si="71"/>
        <v>0.20543469739485928</v>
      </c>
      <c r="BA34" s="36">
        <f t="shared" si="71"/>
        <v>0.18508840969000981</v>
      </c>
      <c r="BB34" s="36">
        <f t="shared" si="71"/>
        <v>0.18368348469533102</v>
      </c>
      <c r="BC34" s="36">
        <f t="shared" si="71"/>
        <v>9.5701959988442553E-2</v>
      </c>
      <c r="BD34" s="36">
        <f t="shared" si="71"/>
        <v>9.4629757784321547E-2</v>
      </c>
      <c r="BE34" s="36">
        <f t="shared" si="71"/>
        <v>0.16577352785842919</v>
      </c>
      <c r="BF34" s="36">
        <f t="shared" si="71"/>
        <v>9.3211713498003501E-2</v>
      </c>
      <c r="BG34" s="36">
        <f t="shared" si="71"/>
        <v>9.149189029616768E-2</v>
      </c>
      <c r="BH34" s="36">
        <f t="shared" si="71"/>
        <v>0.13149130563235889</v>
      </c>
      <c r="BI34" s="36">
        <f t="shared" si="71"/>
        <v>0.18345120063457809</v>
      </c>
      <c r="BJ34" s="36">
        <f t="shared" si="71"/>
        <v>0.18774420869508757</v>
      </c>
      <c r="BK34" s="36">
        <f t="shared" si="71"/>
        <v>0.235120417651946</v>
      </c>
      <c r="BL34" s="36">
        <f t="shared" si="71"/>
        <v>0.16407162458096966</v>
      </c>
      <c r="BM34" s="36">
        <f t="shared" si="71"/>
        <v>0.253399375663663</v>
      </c>
      <c r="BN34" s="36">
        <f>BN30/(BN26+BN27+BN29+BN30)</f>
        <v>0.22318997659187056</v>
      </c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</row>
    <row r="35" spans="1:88" s="92" customFormat="1">
      <c r="A35" s="92" t="s">
        <v>212</v>
      </c>
      <c r="B35" s="36">
        <f t="shared" ref="B35:Q35" si="72">B27/(B26+B27+B29+B30)</f>
        <v>0.19959314757357674</v>
      </c>
      <c r="C35" s="36">
        <f t="shared" si="72"/>
        <v>0.29086732682282046</v>
      </c>
      <c r="D35" s="36">
        <f t="shared" si="72"/>
        <v>0.26039632207815167</v>
      </c>
      <c r="E35" s="36">
        <f t="shared" si="72"/>
        <v>0.20663699943772873</v>
      </c>
      <c r="F35" s="36">
        <f t="shared" si="72"/>
        <v>0.2000952112475928</v>
      </c>
      <c r="G35" s="36">
        <f t="shared" si="72"/>
        <v>0.19328329265849614</v>
      </c>
      <c r="H35" s="36">
        <f t="shared" si="72"/>
        <v>0.17901161631300638</v>
      </c>
      <c r="I35" s="36">
        <f t="shared" si="72"/>
        <v>0.20415903997998558</v>
      </c>
      <c r="J35" s="36">
        <f t="shared" si="72"/>
        <v>0.17919903465506848</v>
      </c>
      <c r="K35" s="36">
        <f t="shared" si="72"/>
        <v>0.17763598946402792</v>
      </c>
      <c r="L35" s="36">
        <f t="shared" si="72"/>
        <v>0.31605010797874428</v>
      </c>
      <c r="M35" s="36">
        <f t="shared" si="72"/>
        <v>0.2957201575033695</v>
      </c>
      <c r="N35" s="36">
        <f t="shared" si="72"/>
        <v>0.20776744059855032</v>
      </c>
      <c r="O35" s="36">
        <f t="shared" si="72"/>
        <v>0.23962122606588906</v>
      </c>
      <c r="P35" s="36">
        <f t="shared" si="72"/>
        <v>0.31708548065997172</v>
      </c>
      <c r="Q35" s="36">
        <f t="shared" si="72"/>
        <v>0.29155864883104748</v>
      </c>
      <c r="R35" s="36">
        <f t="shared" ref="R35:AG35" si="73">R27/(R26+R27+R29+R30)</f>
        <v>0.32129593195264899</v>
      </c>
      <c r="S35" s="36">
        <f t="shared" si="73"/>
        <v>0.27556133924794868</v>
      </c>
      <c r="T35" s="36">
        <f t="shared" si="73"/>
        <v>0.2120321713753778</v>
      </c>
      <c r="U35" s="36">
        <f t="shared" si="73"/>
        <v>0.38880480256444566</v>
      </c>
      <c r="V35" s="36">
        <f t="shared" si="73"/>
        <v>0.39046681492851587</v>
      </c>
      <c r="W35" s="36">
        <f t="shared" si="73"/>
        <v>0.40482276220357244</v>
      </c>
      <c r="X35" s="36">
        <f t="shared" si="73"/>
        <v>0.44386924444364495</v>
      </c>
      <c r="Y35" s="36">
        <f t="shared" si="73"/>
        <v>0.41140104807599315</v>
      </c>
      <c r="Z35" s="36">
        <f t="shared" si="73"/>
        <v>0.14872325429984823</v>
      </c>
      <c r="AA35" s="36">
        <f t="shared" si="73"/>
        <v>0.14328710134595216</v>
      </c>
      <c r="AB35" s="36">
        <f t="shared" si="73"/>
        <v>0.12996963768030195</v>
      </c>
      <c r="AC35" s="36">
        <f t="shared" si="73"/>
        <v>0.16843976392240467</v>
      </c>
      <c r="AD35" s="36">
        <f t="shared" si="73"/>
        <v>0.15251658181572275</v>
      </c>
      <c r="AE35" s="36">
        <f t="shared" si="73"/>
        <v>0.15269343037378377</v>
      </c>
      <c r="AF35" s="36">
        <f t="shared" si="73"/>
        <v>0.14521067796814324</v>
      </c>
      <c r="AG35" s="36">
        <f t="shared" si="73"/>
        <v>0.15435100542993244</v>
      </c>
      <c r="AH35" s="36">
        <f t="shared" ref="AH35:AW35" si="74">AH27/(AH26+AH27+AH29+AH30)</f>
        <v>0.13711289683381642</v>
      </c>
      <c r="AI35" s="36">
        <f t="shared" si="74"/>
        <v>0.31784261430987309</v>
      </c>
      <c r="AJ35" s="36">
        <f t="shared" si="74"/>
        <v>0.3143397520401936</v>
      </c>
      <c r="AK35" s="36">
        <f t="shared" si="74"/>
        <v>0.24421922399089094</v>
      </c>
      <c r="AL35" s="36">
        <f t="shared" si="74"/>
        <v>0.24802846534788323</v>
      </c>
      <c r="AM35" s="36">
        <f t="shared" si="74"/>
        <v>0.31122586141406472</v>
      </c>
      <c r="AN35" s="36">
        <f t="shared" si="74"/>
        <v>0.20999393015136139</v>
      </c>
      <c r="AO35" s="36">
        <f t="shared" si="74"/>
        <v>0.21109791567168662</v>
      </c>
      <c r="AP35" s="36">
        <f t="shared" si="74"/>
        <v>0.34654955848742003</v>
      </c>
      <c r="AQ35" s="36">
        <f t="shared" si="74"/>
        <v>0.23755733066113022</v>
      </c>
      <c r="AR35" s="36">
        <f t="shared" si="74"/>
        <v>0.23800205718260903</v>
      </c>
      <c r="AS35" s="36">
        <f t="shared" si="74"/>
        <v>0.30317220533352196</v>
      </c>
      <c r="AT35" s="36">
        <f t="shared" si="74"/>
        <v>0.15698598225017654</v>
      </c>
      <c r="AU35" s="36">
        <f t="shared" si="74"/>
        <v>0.25336746673106147</v>
      </c>
      <c r="AV35" s="36">
        <f t="shared" si="74"/>
        <v>0.17591371363592401</v>
      </c>
      <c r="AW35" s="36">
        <f t="shared" si="74"/>
        <v>0.23800205718260903</v>
      </c>
      <c r="AX35" s="36">
        <f t="shared" ref="AX35:BM35" si="75">AX27/(AX26+AX27+AX29+AX30)</f>
        <v>0.27772543403072136</v>
      </c>
      <c r="AY35" s="36">
        <f t="shared" si="75"/>
        <v>0.34172046756369662</v>
      </c>
      <c r="AZ35" s="36">
        <f t="shared" si="75"/>
        <v>0.28954844464898022</v>
      </c>
      <c r="BA35" s="36">
        <f t="shared" si="75"/>
        <v>0.21414564180814666</v>
      </c>
      <c r="BB35" s="36">
        <f t="shared" si="75"/>
        <v>0.22188512006143685</v>
      </c>
      <c r="BC35" s="36">
        <f t="shared" si="75"/>
        <v>0.44789972882064955</v>
      </c>
      <c r="BD35" s="36">
        <f t="shared" si="75"/>
        <v>0.43448888866518148</v>
      </c>
      <c r="BE35" s="36">
        <f t="shared" si="75"/>
        <v>0.26454463437838316</v>
      </c>
      <c r="BF35" s="36">
        <f t="shared" si="75"/>
        <v>0.44444722436997686</v>
      </c>
      <c r="BG35" s="36">
        <f t="shared" si="75"/>
        <v>0.4377523887614892</v>
      </c>
      <c r="BH35" s="36">
        <f t="shared" si="75"/>
        <v>0.3758942048205684</v>
      </c>
      <c r="BI35" s="36">
        <f t="shared" si="75"/>
        <v>0.23491280641566911</v>
      </c>
      <c r="BJ35" s="36">
        <f t="shared" si="75"/>
        <v>0.24056401089370899</v>
      </c>
      <c r="BK35" s="36">
        <f t="shared" si="75"/>
        <v>0.10900754813096172</v>
      </c>
      <c r="BL35" s="36">
        <f t="shared" si="75"/>
        <v>0.32436852174766007</v>
      </c>
      <c r="BM35" s="36">
        <f t="shared" si="75"/>
        <v>8.505967869444267E-2</v>
      </c>
      <c r="BN35" s="36">
        <f>BN27/(BN26+BN27+BN29+BN30)</f>
        <v>0.13757645134481308</v>
      </c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</row>
    <row r="36" spans="1:88" s="92" customFormat="1">
      <c r="A36" s="92" t="s">
        <v>213</v>
      </c>
      <c r="B36" s="36">
        <f t="shared" ref="B36:Q36" si="76">B27/(B27+B26)</f>
        <v>0.20950338714470848</v>
      </c>
      <c r="C36" s="36">
        <f t="shared" si="76"/>
        <v>0.36893935362441427</v>
      </c>
      <c r="D36" s="36">
        <f t="shared" si="76"/>
        <v>0.35573441555236879</v>
      </c>
      <c r="E36" s="36">
        <f t="shared" si="76"/>
        <v>0.313231871466293</v>
      </c>
      <c r="F36" s="36">
        <f t="shared" si="76"/>
        <v>0.30409761867403717</v>
      </c>
      <c r="G36" s="36">
        <f t="shared" si="76"/>
        <v>0.25941034307455507</v>
      </c>
      <c r="H36" s="36">
        <f t="shared" si="76"/>
        <v>0.25113648279392797</v>
      </c>
      <c r="I36" s="36">
        <f t="shared" si="76"/>
        <v>0.26634713738717225</v>
      </c>
      <c r="J36" s="36">
        <f t="shared" si="76"/>
        <v>0.2542590706683131</v>
      </c>
      <c r="K36" s="36">
        <f t="shared" si="76"/>
        <v>0.24772365583372563</v>
      </c>
      <c r="L36" s="36">
        <f t="shared" si="76"/>
        <v>0.39746228488546081</v>
      </c>
      <c r="M36" s="36">
        <f t="shared" si="76"/>
        <v>0.37514328064778496</v>
      </c>
      <c r="N36" s="36">
        <f t="shared" si="76"/>
        <v>0.27980860574727129</v>
      </c>
      <c r="O36" s="36">
        <f t="shared" si="76"/>
        <v>0.35041733761411537</v>
      </c>
      <c r="P36" s="36">
        <f t="shared" si="76"/>
        <v>0.40277072592954977</v>
      </c>
      <c r="Q36" s="36">
        <f t="shared" si="76"/>
        <v>0.38073285112471184</v>
      </c>
      <c r="R36" s="36">
        <f t="shared" ref="R36:AG36" si="77">R27/(R27+R26)</f>
        <v>0.40070830645343275</v>
      </c>
      <c r="S36" s="36">
        <f t="shared" si="77"/>
        <v>0.36166468149470832</v>
      </c>
      <c r="T36" s="36">
        <f t="shared" si="77"/>
        <v>0.31817541094611279</v>
      </c>
      <c r="U36" s="36">
        <f t="shared" si="77"/>
        <v>0.46589242941133774</v>
      </c>
      <c r="V36" s="36">
        <f t="shared" si="77"/>
        <v>0.45087199174711085</v>
      </c>
      <c r="W36" s="36">
        <f t="shared" si="77"/>
        <v>0.48500284484613204</v>
      </c>
      <c r="X36" s="36">
        <f t="shared" si="77"/>
        <v>0.53968314002214535</v>
      </c>
      <c r="Y36" s="36">
        <f t="shared" si="77"/>
        <v>0.51371782782826936</v>
      </c>
      <c r="Z36" s="36">
        <f t="shared" si="77"/>
        <v>0.20569861496066191</v>
      </c>
      <c r="AA36" s="36">
        <f t="shared" si="77"/>
        <v>0.21021068239090981</v>
      </c>
      <c r="AB36" s="36">
        <f t="shared" si="77"/>
        <v>0.19341649772977906</v>
      </c>
      <c r="AC36" s="36">
        <f t="shared" si="77"/>
        <v>0.24032972032080263</v>
      </c>
      <c r="AD36" s="36">
        <f t="shared" si="77"/>
        <v>0.22226892820683594</v>
      </c>
      <c r="AE36" s="36">
        <f t="shared" si="77"/>
        <v>0.22952307742588435</v>
      </c>
      <c r="AF36" s="36">
        <f t="shared" si="77"/>
        <v>0.20811019410731221</v>
      </c>
      <c r="AG36" s="36">
        <f t="shared" si="77"/>
        <v>0.21985740633075834</v>
      </c>
      <c r="AH36" s="36">
        <f t="shared" ref="AH36:AW36" si="78">AH27/(AH27+AH26)</f>
        <v>0.21124898844724135</v>
      </c>
      <c r="AI36" s="36">
        <f t="shared" si="78"/>
        <v>0.40531621979783161</v>
      </c>
      <c r="AJ36" s="36">
        <f t="shared" si="78"/>
        <v>0.39628048790283066</v>
      </c>
      <c r="AK36" s="36">
        <f t="shared" si="78"/>
        <v>0.35402285258163224</v>
      </c>
      <c r="AL36" s="36">
        <f t="shared" si="78"/>
        <v>0.35722288397803015</v>
      </c>
      <c r="AM36" s="36">
        <f t="shared" si="78"/>
        <v>0.40135722881639457</v>
      </c>
      <c r="AN36" s="36">
        <f t="shared" si="78"/>
        <v>0.30207839755105653</v>
      </c>
      <c r="AO36" s="36">
        <f t="shared" si="78"/>
        <v>0.31722545717318007</v>
      </c>
      <c r="AP36" s="36">
        <f t="shared" si="78"/>
        <v>0.42521228980685222</v>
      </c>
      <c r="AQ36" s="36">
        <f t="shared" si="78"/>
        <v>0.34513536714437898</v>
      </c>
      <c r="AR36" s="36">
        <f t="shared" si="78"/>
        <v>0.35608605743321997</v>
      </c>
      <c r="AS36" s="36">
        <f t="shared" si="78"/>
        <v>0.39724044589376756</v>
      </c>
      <c r="AT36" s="36">
        <f t="shared" si="78"/>
        <v>0.24134942107725726</v>
      </c>
      <c r="AU36" s="36">
        <f t="shared" si="78"/>
        <v>0.36251607387094265</v>
      </c>
      <c r="AV36" s="36">
        <f t="shared" si="78"/>
        <v>0.27759800261363515</v>
      </c>
      <c r="AW36" s="36">
        <f t="shared" si="78"/>
        <v>0.35608605743321997</v>
      </c>
      <c r="AX36" s="36">
        <f t="shared" ref="AX36:BM36" si="79">AX27/(AX27+AX26)</f>
        <v>0.37360330526944452</v>
      </c>
      <c r="AY36" s="36">
        <f t="shared" si="79"/>
        <v>0.41394560391419766</v>
      </c>
      <c r="AZ36" s="36">
        <f t="shared" si="79"/>
        <v>0.364610129185719</v>
      </c>
      <c r="BA36" s="36">
        <f t="shared" si="79"/>
        <v>0.26591000048661273</v>
      </c>
      <c r="BB36" s="36">
        <f t="shared" si="79"/>
        <v>0.27540818458478628</v>
      </c>
      <c r="BC36" s="36">
        <f t="shared" si="79"/>
        <v>0.49611030281167995</v>
      </c>
      <c r="BD36" s="36">
        <f t="shared" si="79"/>
        <v>0.4809178773179788</v>
      </c>
      <c r="BE36" s="36">
        <f t="shared" si="79"/>
        <v>0.3259296221303058</v>
      </c>
      <c r="BF36" s="36">
        <f t="shared" si="79"/>
        <v>0.4901333982648422</v>
      </c>
      <c r="BG36" s="36">
        <f t="shared" si="79"/>
        <v>0.48370692004254706</v>
      </c>
      <c r="BH36" s="36">
        <f t="shared" si="79"/>
        <v>0.43558174969614066</v>
      </c>
      <c r="BI36" s="36">
        <f t="shared" si="79"/>
        <v>0.30325087907085624</v>
      </c>
      <c r="BJ36" s="36">
        <f t="shared" si="79"/>
        <v>0.3134432956613149</v>
      </c>
      <c r="BK36" s="36">
        <f t="shared" si="79"/>
        <v>0.14817163482805029</v>
      </c>
      <c r="BL36" s="36">
        <f t="shared" si="79"/>
        <v>0.39015976409043152</v>
      </c>
      <c r="BM36" s="36">
        <f t="shared" si="79"/>
        <v>0.12360027961173985</v>
      </c>
      <c r="BN36" s="36">
        <f>BN27/(BN27+BN26)</f>
        <v>0.18254894946072103</v>
      </c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</row>
    <row r="37" spans="1:88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</row>
    <row r="38" spans="1:88" s="24" customFormat="1">
      <c r="A38" s="24" t="s">
        <v>10</v>
      </c>
      <c r="B38" s="36">
        <f t="shared" ref="B38:Q38" si="80">B10*(B26/(B26+B25))</f>
        <v>34.022461433803322</v>
      </c>
      <c r="C38" s="36">
        <f t="shared" si="80"/>
        <v>23.47</v>
      </c>
      <c r="D38" s="36">
        <f t="shared" si="80"/>
        <v>21.913667763114685</v>
      </c>
      <c r="E38" s="36">
        <f t="shared" si="80"/>
        <v>21.02</v>
      </c>
      <c r="F38" s="36">
        <f t="shared" si="80"/>
        <v>21.45</v>
      </c>
      <c r="G38" s="36">
        <f t="shared" si="80"/>
        <v>25.13179753341991</v>
      </c>
      <c r="H38" s="36">
        <f t="shared" si="80"/>
        <v>24.39</v>
      </c>
      <c r="I38" s="36">
        <f t="shared" si="80"/>
        <v>26.162307207862394</v>
      </c>
      <c r="J38" s="36">
        <f t="shared" si="80"/>
        <v>24.669467319258644</v>
      </c>
      <c r="K38" s="36">
        <f t="shared" si="80"/>
        <v>25.32573317085858</v>
      </c>
      <c r="L38" s="36">
        <f t="shared" si="80"/>
        <v>22.421912467767697</v>
      </c>
      <c r="M38" s="36">
        <f t="shared" si="80"/>
        <v>23.062720733071707</v>
      </c>
      <c r="N38" s="36">
        <f t="shared" si="80"/>
        <v>24.6760354121785</v>
      </c>
      <c r="O38" s="36">
        <f t="shared" si="80"/>
        <v>21.009330059368239</v>
      </c>
      <c r="P38" s="36">
        <f t="shared" si="80"/>
        <v>22.09</v>
      </c>
      <c r="Q38" s="36">
        <f t="shared" si="80"/>
        <v>22.26</v>
      </c>
      <c r="R38" s="36">
        <f t="shared" ref="R38:AG38" si="81">R10*(R26/(R26+R25))</f>
        <v>22.92</v>
      </c>
      <c r="S38" s="36">
        <f t="shared" si="81"/>
        <v>22.96</v>
      </c>
      <c r="T38" s="36">
        <f t="shared" si="81"/>
        <v>21.27</v>
      </c>
      <c r="U38" s="36">
        <f t="shared" si="81"/>
        <v>21.9</v>
      </c>
      <c r="V38" s="36">
        <f t="shared" si="81"/>
        <v>23.200871141676895</v>
      </c>
      <c r="W38" s="36">
        <f t="shared" si="81"/>
        <v>21.192628038171911</v>
      </c>
      <c r="X38" s="36">
        <f t="shared" si="81"/>
        <v>18.877560735846522</v>
      </c>
      <c r="Y38" s="36">
        <f t="shared" si="81"/>
        <v>19.65150810564927</v>
      </c>
      <c r="Z38" s="36">
        <f t="shared" si="81"/>
        <v>26.63</v>
      </c>
      <c r="AA38" s="36">
        <f t="shared" si="81"/>
        <v>25.04</v>
      </c>
      <c r="AB38" s="36">
        <f t="shared" si="81"/>
        <v>25.043323846188709</v>
      </c>
      <c r="AC38" s="36">
        <f t="shared" si="81"/>
        <v>24.39</v>
      </c>
      <c r="AD38" s="36">
        <f t="shared" si="81"/>
        <v>24.38</v>
      </c>
      <c r="AE38" s="36">
        <f t="shared" si="81"/>
        <v>24.166896998864985</v>
      </c>
      <c r="AF38" s="36">
        <f t="shared" si="81"/>
        <v>25.36</v>
      </c>
      <c r="AG38" s="36">
        <f t="shared" si="81"/>
        <v>25.04</v>
      </c>
      <c r="AH38" s="36">
        <f t="shared" ref="AH38:AW38" si="82">AH10*(AH26/(AH26+AH25))</f>
        <v>23.62</v>
      </c>
      <c r="AI38" s="36">
        <f t="shared" si="82"/>
        <v>21.91</v>
      </c>
      <c r="AJ38" s="36">
        <f t="shared" si="82"/>
        <v>22.37</v>
      </c>
      <c r="AK38" s="36">
        <f t="shared" si="82"/>
        <v>20.81</v>
      </c>
      <c r="AL38" s="36">
        <f t="shared" si="82"/>
        <v>20.81</v>
      </c>
      <c r="AM38" s="36">
        <f t="shared" si="82"/>
        <v>22.3</v>
      </c>
      <c r="AN38" s="36">
        <f t="shared" si="82"/>
        <v>22.85</v>
      </c>
      <c r="AO38" s="36">
        <f t="shared" si="82"/>
        <v>21.21</v>
      </c>
      <c r="AP38" s="36">
        <f t="shared" si="82"/>
        <v>21.8</v>
      </c>
      <c r="AQ38" s="36">
        <f t="shared" si="82"/>
        <v>21.2</v>
      </c>
      <c r="AR38" s="36">
        <f t="shared" si="82"/>
        <v>20.43</v>
      </c>
      <c r="AS38" s="36">
        <f t="shared" si="82"/>
        <v>21.28</v>
      </c>
      <c r="AT38" s="36">
        <f t="shared" si="82"/>
        <v>22.91</v>
      </c>
      <c r="AU38" s="36">
        <f t="shared" si="82"/>
        <v>20.87</v>
      </c>
      <c r="AV38" s="36">
        <f t="shared" si="82"/>
        <v>21.61</v>
      </c>
      <c r="AW38" s="36">
        <f t="shared" si="82"/>
        <v>20.43</v>
      </c>
      <c r="AX38" s="36">
        <f t="shared" ref="AX38:BM38" si="83">AX10*(AX26/(AX26+AX25))</f>
        <v>21.96</v>
      </c>
      <c r="AY38" s="36">
        <f t="shared" si="83"/>
        <v>22.58</v>
      </c>
      <c r="AZ38" s="36">
        <f t="shared" si="83"/>
        <v>23.57</v>
      </c>
      <c r="BA38" s="36">
        <f t="shared" si="83"/>
        <v>27.5</v>
      </c>
      <c r="BB38" s="36">
        <f t="shared" si="83"/>
        <v>26.63</v>
      </c>
      <c r="BC38" s="36">
        <f t="shared" si="83"/>
        <v>21.864040126485609</v>
      </c>
      <c r="BD38" s="36">
        <f t="shared" si="83"/>
        <v>22.35</v>
      </c>
      <c r="BE38" s="36">
        <f t="shared" si="83"/>
        <v>25.54</v>
      </c>
      <c r="BF38" s="36">
        <f t="shared" si="83"/>
        <v>22.56</v>
      </c>
      <c r="BG38" s="36">
        <f t="shared" si="83"/>
        <v>22.900593587892278</v>
      </c>
      <c r="BH38" s="36">
        <f t="shared" si="83"/>
        <v>23.16</v>
      </c>
      <c r="BI38" s="36">
        <f t="shared" si="83"/>
        <v>25.18</v>
      </c>
      <c r="BJ38" s="36">
        <f t="shared" si="83"/>
        <v>24.2</v>
      </c>
      <c r="BK38" s="36">
        <f t="shared" si="83"/>
        <v>28.479874417887451</v>
      </c>
      <c r="BL38" s="36">
        <f t="shared" si="83"/>
        <v>23.675478735857773</v>
      </c>
      <c r="BM38" s="36">
        <f t="shared" si="83"/>
        <v>27.292465958337896</v>
      </c>
      <c r="BN38" s="36">
        <f>BN10*(BN26/(BN26+BN25))</f>
        <v>28.008882637509959</v>
      </c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</row>
    <row r="39" spans="1:88" s="24" customFormat="1">
      <c r="A39" s="24" t="s">
        <v>101</v>
      </c>
      <c r="B39" s="36">
        <f t="shared" ref="B39:Q39" si="84">1.1113*B10*(B25/(B25+B26))</f>
        <v>0.26175400861437531</v>
      </c>
      <c r="C39" s="36">
        <f t="shared" si="84"/>
        <v>0</v>
      </c>
      <c r="D39" s="36">
        <f t="shared" si="84"/>
        <v>0.36265301485064594</v>
      </c>
      <c r="E39" s="36">
        <f t="shared" si="84"/>
        <v>0</v>
      </c>
      <c r="F39" s="36">
        <f t="shared" si="84"/>
        <v>0</v>
      </c>
      <c r="G39" s="36">
        <f t="shared" si="84"/>
        <v>5.3567401110455236E-2</v>
      </c>
      <c r="H39" s="36">
        <f t="shared" si="84"/>
        <v>0</v>
      </c>
      <c r="I39" s="36">
        <f t="shared" si="84"/>
        <v>0.8531369999025229</v>
      </c>
      <c r="J39" s="36">
        <f t="shared" si="84"/>
        <v>0.37843396810787405</v>
      </c>
      <c r="K39" s="36">
        <f t="shared" si="84"/>
        <v>1.5854727224862388E-2</v>
      </c>
      <c r="L39" s="36">
        <f t="shared" si="84"/>
        <v>0.39794267456976007</v>
      </c>
      <c r="M39" s="36">
        <f t="shared" si="84"/>
        <v>0.23034944933741178</v>
      </c>
      <c r="N39" s="36">
        <f t="shared" si="84"/>
        <v>0.20443984644603089</v>
      </c>
      <c r="O39" s="36">
        <f t="shared" si="84"/>
        <v>0.10076150502407727</v>
      </c>
      <c r="P39" s="36">
        <f t="shared" si="84"/>
        <v>0</v>
      </c>
      <c r="Q39" s="36">
        <f t="shared" si="84"/>
        <v>0</v>
      </c>
      <c r="R39" s="36">
        <f t="shared" ref="R39:AG39" si="85">1.1113*R10*(R25/(R25+R26))</f>
        <v>0</v>
      </c>
      <c r="S39" s="36">
        <f t="shared" si="85"/>
        <v>0</v>
      </c>
      <c r="T39" s="36">
        <f t="shared" si="85"/>
        <v>0</v>
      </c>
      <c r="U39" s="36">
        <f t="shared" si="85"/>
        <v>0</v>
      </c>
      <c r="V39" s="36">
        <f t="shared" si="85"/>
        <v>0.28796990025446789</v>
      </c>
      <c r="W39" s="36">
        <f t="shared" si="85"/>
        <v>0.47493846117955796</v>
      </c>
      <c r="X39" s="36">
        <f t="shared" si="85"/>
        <v>0.56947375425376368</v>
      </c>
      <c r="Y39" s="36">
        <f t="shared" si="85"/>
        <v>0.2761490421919649</v>
      </c>
      <c r="Z39" s="36">
        <f t="shared" si="85"/>
        <v>0</v>
      </c>
      <c r="AA39" s="36">
        <f t="shared" si="85"/>
        <v>0</v>
      </c>
      <c r="AB39" s="36">
        <f t="shared" si="85"/>
        <v>0.15188820973048836</v>
      </c>
      <c r="AC39" s="36">
        <f t="shared" si="85"/>
        <v>0</v>
      </c>
      <c r="AD39" s="36">
        <f t="shared" si="85"/>
        <v>0</v>
      </c>
      <c r="AE39" s="36">
        <f t="shared" si="85"/>
        <v>0.29238636516134409</v>
      </c>
      <c r="AF39" s="36">
        <f t="shared" si="85"/>
        <v>0</v>
      </c>
      <c r="AG39" s="36">
        <f t="shared" si="85"/>
        <v>0</v>
      </c>
      <c r="AH39" s="36">
        <f t="shared" ref="AH39:AW39" si="86">1.1113*AH10*(AH25/(AH25+AH26))</f>
        <v>0</v>
      </c>
      <c r="AI39" s="36">
        <f t="shared" si="86"/>
        <v>0</v>
      </c>
      <c r="AJ39" s="36">
        <f t="shared" si="86"/>
        <v>0</v>
      </c>
      <c r="AK39" s="36">
        <f t="shared" si="86"/>
        <v>0</v>
      </c>
      <c r="AL39" s="36">
        <f t="shared" si="86"/>
        <v>0</v>
      </c>
      <c r="AM39" s="36">
        <f t="shared" si="86"/>
        <v>0</v>
      </c>
      <c r="AN39" s="36">
        <f t="shared" si="86"/>
        <v>0</v>
      </c>
      <c r="AO39" s="36">
        <f t="shared" si="86"/>
        <v>0</v>
      </c>
      <c r="AP39" s="36">
        <f t="shared" si="86"/>
        <v>0</v>
      </c>
      <c r="AQ39" s="36">
        <f t="shared" si="86"/>
        <v>0</v>
      </c>
      <c r="AR39" s="36">
        <f t="shared" si="86"/>
        <v>0</v>
      </c>
      <c r="AS39" s="36">
        <f t="shared" si="86"/>
        <v>0</v>
      </c>
      <c r="AT39" s="36">
        <f t="shared" si="86"/>
        <v>0</v>
      </c>
      <c r="AU39" s="36">
        <f t="shared" si="86"/>
        <v>0</v>
      </c>
      <c r="AV39" s="36">
        <f t="shared" si="86"/>
        <v>0</v>
      </c>
      <c r="AW39" s="36">
        <f t="shared" si="86"/>
        <v>0</v>
      </c>
      <c r="AX39" s="36">
        <f t="shared" ref="AX39:BM39" si="87">1.1113*AX10*(AX25/(AX25+AX26))</f>
        <v>0</v>
      </c>
      <c r="AY39" s="36">
        <f t="shared" si="87"/>
        <v>0</v>
      </c>
      <c r="AZ39" s="36">
        <f t="shared" si="87"/>
        <v>0</v>
      </c>
      <c r="BA39" s="36">
        <f t="shared" si="87"/>
        <v>0</v>
      </c>
      <c r="BB39" s="36">
        <f t="shared" si="87"/>
        <v>0</v>
      </c>
      <c r="BC39" s="36">
        <f t="shared" si="87"/>
        <v>0.10664020743654021</v>
      </c>
      <c r="BD39" s="36">
        <f t="shared" si="87"/>
        <v>0</v>
      </c>
      <c r="BE39" s="36">
        <f t="shared" si="87"/>
        <v>0</v>
      </c>
      <c r="BF39" s="36">
        <f t="shared" si="87"/>
        <v>0</v>
      </c>
      <c r="BG39" s="36">
        <f t="shared" si="87"/>
        <v>0.17714834577531149</v>
      </c>
      <c r="BH39" s="36">
        <f t="shared" si="87"/>
        <v>0</v>
      </c>
      <c r="BI39" s="36">
        <f t="shared" si="87"/>
        <v>0</v>
      </c>
      <c r="BJ39" s="36">
        <f t="shared" si="87"/>
        <v>0</v>
      </c>
      <c r="BK39" s="36">
        <f t="shared" si="87"/>
        <v>0.25573855940167778</v>
      </c>
      <c r="BL39" s="36">
        <f t="shared" si="87"/>
        <v>0.70514348084125367</v>
      </c>
      <c r="BM39" s="36">
        <f t="shared" si="87"/>
        <v>0.35287558049909878</v>
      </c>
      <c r="BN39" s="36">
        <f>1.1113*BN10*(BN25/(BN25+BN26))</f>
        <v>0.40130972493518352</v>
      </c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</row>
    <row r="40" spans="1:88" s="24" customFormat="1">
      <c r="A40" s="24" t="s">
        <v>235</v>
      </c>
      <c r="B40" s="36">
        <f t="shared" ref="B40:Q40" si="88">B39+B38+B11+B15+B14+B13+B12+B8+B9+B7+B6+B5</f>
        <v>100.25421544241769</v>
      </c>
      <c r="C40" s="36">
        <f t="shared" si="88"/>
        <v>101.13</v>
      </c>
      <c r="D40" s="36">
        <f t="shared" si="88"/>
        <v>100.70632077796533</v>
      </c>
      <c r="E40" s="36">
        <f t="shared" si="88"/>
        <v>101.05999999999999</v>
      </c>
      <c r="F40" s="36">
        <f t="shared" si="88"/>
        <v>101.41000000000001</v>
      </c>
      <c r="G40" s="36">
        <f t="shared" si="88"/>
        <v>99.655364934530354</v>
      </c>
      <c r="H40" s="36">
        <f t="shared" si="88"/>
        <v>100.38000000000001</v>
      </c>
      <c r="I40" s="36">
        <f t="shared" si="88"/>
        <v>102.40544420776493</v>
      </c>
      <c r="J40" s="36">
        <f t="shared" si="88"/>
        <v>102.06790128736652</v>
      </c>
      <c r="K40" s="36">
        <f t="shared" si="88"/>
        <v>102.47158789808344</v>
      </c>
      <c r="L40" s="36">
        <f t="shared" si="88"/>
        <v>100.39985514233744</v>
      </c>
      <c r="M40" s="36">
        <f t="shared" si="88"/>
        <v>100.37307018240911</v>
      </c>
      <c r="N40" s="36">
        <f t="shared" si="88"/>
        <v>101.31047525862454</v>
      </c>
      <c r="O40" s="36">
        <f t="shared" si="88"/>
        <v>101.69009156439232</v>
      </c>
      <c r="P40" s="36">
        <f t="shared" si="88"/>
        <v>101.21</v>
      </c>
      <c r="Q40" s="36">
        <f t="shared" si="88"/>
        <v>101.63</v>
      </c>
      <c r="R40" s="36">
        <f t="shared" ref="R40:AG40" si="89">R39+R38+R11+R15+R14+R13+R12+R8+R9+R7+R6+R5</f>
        <v>101.95999999999998</v>
      </c>
      <c r="S40" s="36">
        <f t="shared" si="89"/>
        <v>101.06</v>
      </c>
      <c r="T40" s="36">
        <f t="shared" si="89"/>
        <v>101.09000000000002</v>
      </c>
      <c r="U40" s="36">
        <f t="shared" si="89"/>
        <v>103.71000000000001</v>
      </c>
      <c r="V40" s="36">
        <f t="shared" si="89"/>
        <v>103.35884104193136</v>
      </c>
      <c r="W40" s="36">
        <f t="shared" si="89"/>
        <v>103.92756649935146</v>
      </c>
      <c r="X40" s="36">
        <f t="shared" si="89"/>
        <v>103.92703449010031</v>
      </c>
      <c r="Y40" s="36">
        <f t="shared" si="89"/>
        <v>105.78765714784123</v>
      </c>
      <c r="Z40" s="36">
        <f t="shared" si="89"/>
        <v>102.52</v>
      </c>
      <c r="AA40" s="36">
        <f t="shared" si="89"/>
        <v>102.12999999999998</v>
      </c>
      <c r="AB40" s="36">
        <f t="shared" si="89"/>
        <v>101.1652120559192</v>
      </c>
      <c r="AC40" s="36">
        <f t="shared" si="89"/>
        <v>99.98</v>
      </c>
      <c r="AD40" s="36">
        <f t="shared" si="89"/>
        <v>100.75999999999999</v>
      </c>
      <c r="AE40" s="36">
        <f t="shared" si="89"/>
        <v>102.71928336402632</v>
      </c>
      <c r="AF40" s="36">
        <f t="shared" si="89"/>
        <v>100.52</v>
      </c>
      <c r="AG40" s="36">
        <f t="shared" si="89"/>
        <v>100.37999999999998</v>
      </c>
      <c r="AH40" s="36">
        <f t="shared" ref="AH40:AW40" si="90">AH39+AH38+AH11+AH15+AH14+AH13+AH12+AH8+AH9+AH7+AH6+AH5</f>
        <v>101.07</v>
      </c>
      <c r="AI40" s="36">
        <f t="shared" si="90"/>
        <v>100.80999999999999</v>
      </c>
      <c r="AJ40" s="36">
        <f t="shared" si="90"/>
        <v>100.86</v>
      </c>
      <c r="AK40" s="36">
        <f t="shared" si="90"/>
        <v>101.51</v>
      </c>
      <c r="AL40" s="36">
        <f t="shared" si="90"/>
        <v>101.15</v>
      </c>
      <c r="AM40" s="36">
        <f t="shared" si="90"/>
        <v>102.40000000000002</v>
      </c>
      <c r="AN40" s="36">
        <f t="shared" si="90"/>
        <v>102.00999999999999</v>
      </c>
      <c r="AO40" s="36">
        <f t="shared" si="90"/>
        <v>102.17999999999999</v>
      </c>
      <c r="AP40" s="36">
        <f t="shared" si="90"/>
        <v>99.910000000000025</v>
      </c>
      <c r="AQ40" s="36">
        <f t="shared" si="90"/>
        <v>101.38000000000001</v>
      </c>
      <c r="AR40" s="36">
        <f t="shared" si="90"/>
        <v>102.46000000000001</v>
      </c>
      <c r="AS40" s="36">
        <f t="shared" si="90"/>
        <v>100.5</v>
      </c>
      <c r="AT40" s="36">
        <f t="shared" si="90"/>
        <v>102.33000000000001</v>
      </c>
      <c r="AU40" s="36">
        <f t="shared" si="90"/>
        <v>101.78999999999999</v>
      </c>
      <c r="AV40" s="36">
        <f t="shared" si="90"/>
        <v>102.57000000000001</v>
      </c>
      <c r="AW40" s="36">
        <f t="shared" si="90"/>
        <v>102.46000000000001</v>
      </c>
      <c r="AX40" s="36">
        <f t="shared" ref="AX40:BM40" si="91">AX39+AX38+AX11+AX15+AX14+AX13+AX12+AX8+AX9+AX7+AX6+AX5</f>
        <v>101.11000000000001</v>
      </c>
      <c r="AY40" s="36">
        <f t="shared" si="91"/>
        <v>100.3</v>
      </c>
      <c r="AZ40" s="36">
        <f t="shared" si="91"/>
        <v>100.86</v>
      </c>
      <c r="BA40" s="36">
        <f t="shared" si="91"/>
        <v>102.01999999999998</v>
      </c>
      <c r="BB40" s="36">
        <f t="shared" si="91"/>
        <v>101.03000000000002</v>
      </c>
      <c r="BC40" s="36">
        <f t="shared" si="91"/>
        <v>101.95068033392215</v>
      </c>
      <c r="BD40" s="36">
        <f t="shared" si="91"/>
        <v>101.2</v>
      </c>
      <c r="BE40" s="36">
        <f t="shared" si="91"/>
        <v>101.87</v>
      </c>
      <c r="BF40" s="36">
        <f t="shared" si="91"/>
        <v>103.06</v>
      </c>
      <c r="BG40" s="36">
        <f t="shared" si="91"/>
        <v>102.83774193366759</v>
      </c>
      <c r="BH40" s="36">
        <f t="shared" si="91"/>
        <v>102.49000000000001</v>
      </c>
      <c r="BI40" s="36">
        <f t="shared" si="91"/>
        <v>102.75</v>
      </c>
      <c r="BJ40" s="36">
        <f t="shared" si="91"/>
        <v>100.09</v>
      </c>
      <c r="BK40" s="36">
        <f t="shared" si="91"/>
        <v>101.61561297728915</v>
      </c>
      <c r="BL40" s="36">
        <f t="shared" si="91"/>
        <v>99.92062221669903</v>
      </c>
      <c r="BM40" s="36">
        <f t="shared" si="91"/>
        <v>100.79534153883699</v>
      </c>
      <c r="BN40" s="36">
        <f>BN39+BN38+BN11+BN15+BN14+BN13+BN12+BN8+BN9+BN7+BN6+BN5</f>
        <v>100.49019236244516</v>
      </c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V74"/>
  <sheetViews>
    <sheetView topLeftCell="A18" workbookViewId="0">
      <selection activeCell="D3" sqref="D3"/>
    </sheetView>
  </sheetViews>
  <sheetFormatPr baseColWidth="10" defaultColWidth="7.7109375" defaultRowHeight="14"/>
  <cols>
    <col min="1" max="1" width="7.7109375" style="24"/>
    <col min="2" max="2" width="7.7109375" style="68"/>
    <col min="3" max="12" width="7.7109375" style="20"/>
    <col min="13" max="18" width="7.7109375" style="48"/>
    <col min="19" max="22" width="7.7109375" style="45"/>
    <col min="23" max="27" width="7.7109375" style="20"/>
    <col min="28" max="29" width="7.7109375" style="45"/>
    <col min="30" max="34" width="7.7109375" style="20"/>
    <col min="35" max="35" width="7.7109375" style="48"/>
    <col min="36" max="36" width="7.7109375" style="45"/>
    <col min="37" max="41" width="7.7109375" style="20"/>
    <col min="42" max="64" width="7.7109375" style="45"/>
    <col min="65" max="16384" width="7.7109375" style="48"/>
  </cols>
  <sheetData>
    <row r="1" spans="1:74" s="17" customFormat="1" ht="13">
      <c r="A1" s="77"/>
      <c r="B1" s="78" t="s">
        <v>64</v>
      </c>
      <c r="C1" s="79"/>
      <c r="D1" s="79"/>
      <c r="E1" s="79"/>
      <c r="F1" s="79"/>
      <c r="G1" s="79"/>
      <c r="H1" s="79"/>
      <c r="I1" s="79"/>
      <c r="J1" s="79"/>
      <c r="K1" s="79"/>
      <c r="L1" s="79"/>
      <c r="S1" s="79"/>
      <c r="T1" s="79" t="s">
        <v>302</v>
      </c>
      <c r="U1" s="79"/>
      <c r="V1" s="79"/>
      <c r="W1" s="79"/>
      <c r="X1" s="79"/>
      <c r="Y1" s="79"/>
      <c r="Z1" s="79"/>
      <c r="AA1" s="79"/>
      <c r="AB1" s="79"/>
      <c r="AC1" s="79"/>
      <c r="AD1" s="79" t="s">
        <v>68</v>
      </c>
      <c r="AE1" s="79"/>
      <c r="AF1" s="79"/>
      <c r="AG1" s="79"/>
      <c r="AH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</row>
    <row r="3" spans="1:74" s="81" customFormat="1">
      <c r="A3" s="34" t="s">
        <v>0</v>
      </c>
      <c r="B3" s="2" t="s">
        <v>71</v>
      </c>
      <c r="C3" s="2" t="s">
        <v>71</v>
      </c>
      <c r="D3" s="2" t="s">
        <v>71</v>
      </c>
      <c r="E3" s="2" t="s">
        <v>71</v>
      </c>
      <c r="F3" s="2" t="s">
        <v>71</v>
      </c>
      <c r="G3" s="2" t="s">
        <v>71</v>
      </c>
      <c r="H3" s="2" t="s">
        <v>71</v>
      </c>
      <c r="I3" s="2" t="s">
        <v>71</v>
      </c>
      <c r="J3" s="2" t="s">
        <v>71</v>
      </c>
      <c r="K3" s="2" t="s">
        <v>71</v>
      </c>
      <c r="L3" s="2" t="s">
        <v>71</v>
      </c>
      <c r="M3">
        <v>430</v>
      </c>
      <c r="N3">
        <v>430</v>
      </c>
      <c r="O3">
        <v>430</v>
      </c>
      <c r="P3">
        <v>430</v>
      </c>
      <c r="Q3">
        <v>430</v>
      </c>
      <c r="R3">
        <v>430</v>
      </c>
      <c r="S3">
        <v>430</v>
      </c>
      <c r="T3" s="2" t="s">
        <v>74</v>
      </c>
      <c r="U3" s="2" t="s">
        <v>74</v>
      </c>
      <c r="V3" s="2" t="s">
        <v>74</v>
      </c>
      <c r="W3" s="10" t="s">
        <v>2</v>
      </c>
      <c r="X3" s="10" t="s">
        <v>2</v>
      </c>
      <c r="Y3" s="10" t="s">
        <v>2</v>
      </c>
      <c r="Z3" s="10" t="s">
        <v>2</v>
      </c>
      <c r="AA3" s="10" t="s">
        <v>2</v>
      </c>
      <c r="AB3" s="10" t="s">
        <v>2</v>
      </c>
      <c r="AC3" s="2"/>
      <c r="AD3" s="2" t="s">
        <v>75</v>
      </c>
      <c r="AE3" s="2" t="s">
        <v>75</v>
      </c>
      <c r="AF3" s="2" t="s">
        <v>75</v>
      </c>
      <c r="AG3" s="2" t="s">
        <v>75</v>
      </c>
      <c r="AH3" s="2" t="s">
        <v>303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0" t="s">
        <v>75</v>
      </c>
      <c r="AP3" s="10" t="s">
        <v>75</v>
      </c>
      <c r="AQ3" s="10" t="s">
        <v>75</v>
      </c>
      <c r="AR3" s="10" t="s">
        <v>75</v>
      </c>
      <c r="AS3" s="10" t="s">
        <v>75</v>
      </c>
      <c r="AT3" s="10" t="s">
        <v>75</v>
      </c>
      <c r="AU3" s="10" t="s">
        <v>75</v>
      </c>
      <c r="AV3" s="10" t="s">
        <v>75</v>
      </c>
      <c r="AW3" s="10" t="s">
        <v>75</v>
      </c>
      <c r="AX3" s="10" t="s">
        <v>75</v>
      </c>
      <c r="AY3" s="10" t="s">
        <v>75</v>
      </c>
      <c r="AZ3" s="10" t="s">
        <v>75</v>
      </c>
      <c r="BA3" s="10" t="s">
        <v>75</v>
      </c>
      <c r="BB3" s="10" t="s">
        <v>75</v>
      </c>
      <c r="BC3" s="10" t="s">
        <v>75</v>
      </c>
      <c r="BD3" s="80"/>
      <c r="BE3" s="2">
        <v>93.1</v>
      </c>
      <c r="BF3" s="2">
        <v>93.1</v>
      </c>
      <c r="BG3" s="2">
        <v>93.1</v>
      </c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</row>
    <row r="4" spans="1:74" s="81" customFormat="1">
      <c r="A4" s="75" t="s">
        <v>4</v>
      </c>
      <c r="B4" s="2" t="s">
        <v>304</v>
      </c>
      <c r="C4" s="2" t="s">
        <v>305</v>
      </c>
      <c r="D4" s="2" t="s">
        <v>306</v>
      </c>
      <c r="E4" s="2" t="s">
        <v>307</v>
      </c>
      <c r="F4" s="2" t="s">
        <v>308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313</v>
      </c>
      <c r="L4" s="2" t="s">
        <v>314</v>
      </c>
      <c r="M4">
        <v>124</v>
      </c>
      <c r="N4" s="2">
        <v>125</v>
      </c>
      <c r="O4">
        <v>126</v>
      </c>
      <c r="P4" s="2" t="s">
        <v>315</v>
      </c>
      <c r="Q4" s="2" t="s">
        <v>316</v>
      </c>
      <c r="R4" s="2" t="s">
        <v>317</v>
      </c>
      <c r="S4" s="2" t="s">
        <v>247</v>
      </c>
      <c r="T4" s="2" t="s">
        <v>318</v>
      </c>
      <c r="U4" s="2" t="s">
        <v>319</v>
      </c>
      <c r="V4" s="2">
        <v>38</v>
      </c>
      <c r="W4" s="10">
        <v>11</v>
      </c>
      <c r="X4" s="10">
        <v>19</v>
      </c>
      <c r="Y4" s="10">
        <v>20</v>
      </c>
      <c r="Z4" s="10">
        <v>21</v>
      </c>
      <c r="AA4" s="10">
        <v>30</v>
      </c>
      <c r="AB4" s="10">
        <v>39</v>
      </c>
      <c r="AC4" s="2"/>
      <c r="AD4" s="2">
        <v>115</v>
      </c>
      <c r="AE4" s="2" t="s">
        <v>320</v>
      </c>
      <c r="AF4" s="2" t="s">
        <v>321</v>
      </c>
      <c r="AG4" s="2" t="s">
        <v>322</v>
      </c>
      <c r="AH4" s="2" t="s">
        <v>323</v>
      </c>
      <c r="AI4" s="10" t="s">
        <v>324</v>
      </c>
      <c r="AJ4" s="10" t="s">
        <v>325</v>
      </c>
      <c r="AK4" s="10" t="s">
        <v>326</v>
      </c>
      <c r="AL4" s="10" t="s">
        <v>327</v>
      </c>
      <c r="AM4" s="10" t="s">
        <v>328</v>
      </c>
      <c r="AN4" s="10" t="s">
        <v>329</v>
      </c>
      <c r="AO4" s="10" t="s">
        <v>330</v>
      </c>
      <c r="AP4" s="10" t="s">
        <v>331</v>
      </c>
      <c r="AQ4" s="10" t="s">
        <v>332</v>
      </c>
      <c r="AR4" s="10" t="s">
        <v>333</v>
      </c>
      <c r="AS4" s="10">
        <v>78</v>
      </c>
      <c r="AT4" s="10" t="s">
        <v>334</v>
      </c>
      <c r="AU4" s="10" t="s">
        <v>335</v>
      </c>
      <c r="AV4" s="10" t="s">
        <v>336</v>
      </c>
      <c r="AW4" s="10" t="s">
        <v>337</v>
      </c>
      <c r="AX4" s="10" t="s">
        <v>338</v>
      </c>
      <c r="AY4" s="10" t="s">
        <v>339</v>
      </c>
      <c r="AZ4" s="10" t="s">
        <v>340</v>
      </c>
      <c r="BA4" s="10" t="s">
        <v>341</v>
      </c>
      <c r="BB4" s="10" t="s">
        <v>342</v>
      </c>
      <c r="BC4" s="10" t="s">
        <v>343</v>
      </c>
      <c r="BD4" s="80"/>
      <c r="BE4" s="2" t="s">
        <v>344</v>
      </c>
      <c r="BF4" s="2" t="s">
        <v>345</v>
      </c>
      <c r="BG4" s="2" t="s">
        <v>346</v>
      </c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</row>
    <row r="5" spans="1:74" s="60" customFormat="1">
      <c r="A5" s="55" t="s">
        <v>5</v>
      </c>
      <c r="B5" s="40">
        <v>9.6300000000000008</v>
      </c>
      <c r="C5" s="40">
        <v>9.9499999999999993</v>
      </c>
      <c r="D5" s="40">
        <v>9.85</v>
      </c>
      <c r="E5" s="40">
        <v>9.68</v>
      </c>
      <c r="F5" s="40">
        <v>10.17</v>
      </c>
      <c r="G5" s="40">
        <v>9.83</v>
      </c>
      <c r="H5" s="40">
        <v>9.93</v>
      </c>
      <c r="I5" s="40">
        <v>9.4499999999999993</v>
      </c>
      <c r="J5" s="40">
        <v>9.8000000000000007</v>
      </c>
      <c r="K5" s="40">
        <v>9.25</v>
      </c>
      <c r="L5" s="40">
        <v>10</v>
      </c>
      <c r="M5" s="16">
        <v>10.34</v>
      </c>
      <c r="N5" s="40">
        <v>10.44</v>
      </c>
      <c r="O5" s="16">
        <v>10.64</v>
      </c>
      <c r="P5" s="16">
        <v>10.29</v>
      </c>
      <c r="Q5" s="16">
        <v>10.29</v>
      </c>
      <c r="R5" s="16">
        <v>10.46</v>
      </c>
      <c r="S5" s="16">
        <v>10.15</v>
      </c>
      <c r="T5" s="40">
        <v>9.1999999999999993</v>
      </c>
      <c r="U5" s="40">
        <v>9.06</v>
      </c>
      <c r="V5" s="40">
        <v>9.25</v>
      </c>
      <c r="W5" s="91">
        <v>8.84</v>
      </c>
      <c r="X5" s="91">
        <v>10.09</v>
      </c>
      <c r="Y5" s="91">
        <v>9.9700000000000006</v>
      </c>
      <c r="Z5" s="91">
        <v>10.14</v>
      </c>
      <c r="AA5" s="91">
        <v>10.14</v>
      </c>
      <c r="AB5" s="91">
        <v>10.25</v>
      </c>
      <c r="AC5" s="40"/>
      <c r="AD5" s="40">
        <v>9.6</v>
      </c>
      <c r="AE5" s="40">
        <v>9.0500000000000007</v>
      </c>
      <c r="AF5" s="40">
        <v>8.7200000000000006</v>
      </c>
      <c r="AG5" s="40">
        <v>9.48</v>
      </c>
      <c r="AH5" s="40">
        <v>8.68</v>
      </c>
      <c r="AI5" s="91">
        <v>9.6300000000000008</v>
      </c>
      <c r="AJ5" s="91">
        <v>9.07</v>
      </c>
      <c r="AK5" s="91">
        <v>9.2200000000000006</v>
      </c>
      <c r="AL5" s="91">
        <v>9.75</v>
      </c>
      <c r="AM5" s="91">
        <v>9.5299999999999994</v>
      </c>
      <c r="AN5" s="91">
        <v>9.44</v>
      </c>
      <c r="AO5" s="91">
        <v>9.61</v>
      </c>
      <c r="AP5" s="91">
        <v>9.83</v>
      </c>
      <c r="AQ5" s="91">
        <v>9.52</v>
      </c>
      <c r="AR5" s="91">
        <v>9.2200000000000006</v>
      </c>
      <c r="AS5" s="91">
        <v>9.5399999999999991</v>
      </c>
      <c r="AT5" s="91">
        <v>9.41</v>
      </c>
      <c r="AU5" s="91">
        <v>9.58</v>
      </c>
      <c r="AV5" s="91">
        <v>9.86</v>
      </c>
      <c r="AW5" s="91">
        <v>9.98</v>
      </c>
      <c r="AX5" s="91">
        <v>9.32</v>
      </c>
      <c r="AY5" s="91">
        <v>9.5399999999999991</v>
      </c>
      <c r="AZ5" s="91">
        <v>8.68</v>
      </c>
      <c r="BA5" s="91">
        <v>8.99</v>
      </c>
      <c r="BB5" s="91">
        <v>9.2799999999999994</v>
      </c>
      <c r="BC5" s="91">
        <v>9.84</v>
      </c>
      <c r="BD5" s="57"/>
      <c r="BE5" s="40">
        <v>8.5500000000000007</v>
      </c>
      <c r="BF5" s="40">
        <v>9.07</v>
      </c>
      <c r="BG5" s="40">
        <v>8.84</v>
      </c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1:74" s="52" customFormat="1">
      <c r="A6" s="24" t="s">
        <v>6</v>
      </c>
      <c r="B6" s="2">
        <v>0.1</v>
      </c>
      <c r="C6" s="2">
        <v>0.09</v>
      </c>
      <c r="D6" s="2">
        <v>0</v>
      </c>
      <c r="E6" s="2">
        <v>0.03</v>
      </c>
      <c r="F6" s="67">
        <v>0.01</v>
      </c>
      <c r="G6" s="67">
        <v>0.01</v>
      </c>
      <c r="H6" s="67">
        <v>0.02</v>
      </c>
      <c r="I6" s="67">
        <v>0.06</v>
      </c>
      <c r="J6" s="67">
        <v>0.06</v>
      </c>
      <c r="K6" s="67">
        <v>0.06</v>
      </c>
      <c r="L6" s="67">
        <v>0</v>
      </c>
      <c r="M6">
        <v>0.01</v>
      </c>
      <c r="N6" s="2">
        <v>0</v>
      </c>
      <c r="O6">
        <v>0.04</v>
      </c>
      <c r="P6">
        <v>0</v>
      </c>
      <c r="Q6">
        <v>0.02</v>
      </c>
      <c r="R6">
        <v>0</v>
      </c>
      <c r="S6">
        <v>0</v>
      </c>
      <c r="T6" s="2">
        <v>0.04</v>
      </c>
      <c r="U6" s="2">
        <v>0.03</v>
      </c>
      <c r="V6" s="2">
        <v>0</v>
      </c>
      <c r="W6" s="10">
        <v>0.05</v>
      </c>
      <c r="X6" s="10">
        <v>0.03</v>
      </c>
      <c r="Y6" s="10">
        <v>0.06</v>
      </c>
      <c r="Z6" s="10">
        <v>0.02</v>
      </c>
      <c r="AA6" s="10">
        <v>0</v>
      </c>
      <c r="AB6" s="10">
        <v>0.01</v>
      </c>
      <c r="AC6" s="2"/>
      <c r="AD6" s="2">
        <v>0.12</v>
      </c>
      <c r="AE6" s="67">
        <v>0.3</v>
      </c>
      <c r="AF6" s="67">
        <v>0.05</v>
      </c>
      <c r="AG6" s="2">
        <v>0</v>
      </c>
      <c r="AH6" s="2">
        <v>0.01</v>
      </c>
      <c r="AI6" s="10">
        <v>0</v>
      </c>
      <c r="AJ6" s="10">
        <v>0.03</v>
      </c>
      <c r="AK6" s="10">
        <v>0.23</v>
      </c>
      <c r="AL6" s="10">
        <v>0</v>
      </c>
      <c r="AM6" s="10">
        <v>0</v>
      </c>
      <c r="AN6" s="10">
        <v>0.01</v>
      </c>
      <c r="AO6" s="10">
        <v>0.02</v>
      </c>
      <c r="AP6" s="10">
        <v>0</v>
      </c>
      <c r="AQ6" s="10">
        <v>0.01</v>
      </c>
      <c r="AR6" s="10">
        <v>0.03</v>
      </c>
      <c r="AS6" s="10">
        <v>0.27</v>
      </c>
      <c r="AT6" s="10">
        <v>0</v>
      </c>
      <c r="AU6" s="10">
        <v>0.03</v>
      </c>
      <c r="AV6" s="10">
        <v>0.02</v>
      </c>
      <c r="AW6" s="10">
        <v>0.01</v>
      </c>
      <c r="AX6" s="10">
        <v>0</v>
      </c>
      <c r="AY6" s="10">
        <v>0.02</v>
      </c>
      <c r="AZ6" s="10">
        <v>0</v>
      </c>
      <c r="BA6" s="10">
        <v>0.02</v>
      </c>
      <c r="BB6" s="10">
        <v>0.02</v>
      </c>
      <c r="BC6" s="10">
        <v>0.04</v>
      </c>
      <c r="BD6" s="82"/>
      <c r="BE6" s="2">
        <v>0</v>
      </c>
      <c r="BF6" s="2">
        <v>0</v>
      </c>
      <c r="BG6" s="2">
        <v>0.03</v>
      </c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s="52" customFormat="1">
      <c r="A7" s="24" t="s">
        <v>7</v>
      </c>
      <c r="B7" s="2">
        <v>0.32</v>
      </c>
      <c r="C7" s="2">
        <v>0.22</v>
      </c>
      <c r="D7" s="2">
        <v>0.51</v>
      </c>
      <c r="E7" s="2">
        <v>0.5</v>
      </c>
      <c r="F7" s="67">
        <v>0.3</v>
      </c>
      <c r="G7" s="67">
        <v>0.41</v>
      </c>
      <c r="H7" s="67">
        <v>0.38</v>
      </c>
      <c r="I7" s="67">
        <v>0.47</v>
      </c>
      <c r="J7" s="67">
        <v>0.22</v>
      </c>
      <c r="K7" s="67">
        <v>0.28999999999999998</v>
      </c>
      <c r="L7" s="67">
        <v>0.36</v>
      </c>
      <c r="M7">
        <v>0.67</v>
      </c>
      <c r="N7" s="2">
        <v>0.46</v>
      </c>
      <c r="O7">
        <v>0.56000000000000005</v>
      </c>
      <c r="P7">
        <v>0.49</v>
      </c>
      <c r="Q7">
        <v>0.68</v>
      </c>
      <c r="R7">
        <v>0.61</v>
      </c>
      <c r="S7">
        <v>0.66</v>
      </c>
      <c r="T7" s="2">
        <v>0.5</v>
      </c>
      <c r="U7" s="2">
        <v>0.39</v>
      </c>
      <c r="V7" s="2">
        <v>0.47</v>
      </c>
      <c r="W7" s="10">
        <v>0.63</v>
      </c>
      <c r="X7" s="10">
        <v>0.82</v>
      </c>
      <c r="Y7" s="10">
        <v>0.78</v>
      </c>
      <c r="Z7" s="10">
        <v>0.62</v>
      </c>
      <c r="AA7" s="10">
        <v>0.71</v>
      </c>
      <c r="AB7" s="10">
        <v>0.63</v>
      </c>
      <c r="AC7" s="2"/>
      <c r="AD7" s="2">
        <v>0.55000000000000004</v>
      </c>
      <c r="AE7" s="67">
        <v>0.45</v>
      </c>
      <c r="AF7" s="67">
        <v>0.46</v>
      </c>
      <c r="AG7" s="2">
        <v>0.31</v>
      </c>
      <c r="AH7" s="2">
        <v>0.42</v>
      </c>
      <c r="AI7" s="10">
        <v>0.33</v>
      </c>
      <c r="AJ7" s="10">
        <v>0.47</v>
      </c>
      <c r="AK7" s="10">
        <v>0.43</v>
      </c>
      <c r="AL7" s="10">
        <v>0.39</v>
      </c>
      <c r="AM7" s="10">
        <v>0.52</v>
      </c>
      <c r="AN7" s="10">
        <v>0.42</v>
      </c>
      <c r="AO7" s="10">
        <v>0.4</v>
      </c>
      <c r="AP7" s="10">
        <v>0.51</v>
      </c>
      <c r="AQ7" s="10">
        <v>0.48</v>
      </c>
      <c r="AR7" s="10">
        <v>0.52</v>
      </c>
      <c r="AS7" s="10">
        <v>0.41</v>
      </c>
      <c r="AT7" s="10">
        <v>0.43</v>
      </c>
      <c r="AU7" s="10">
        <v>0.52</v>
      </c>
      <c r="AV7" s="10">
        <v>0.39</v>
      </c>
      <c r="AW7" s="10">
        <v>0.36</v>
      </c>
      <c r="AX7" s="10">
        <v>0.39</v>
      </c>
      <c r="AY7" s="10">
        <v>0.42</v>
      </c>
      <c r="AZ7" s="10">
        <v>0.36</v>
      </c>
      <c r="BA7" s="10">
        <v>0.5</v>
      </c>
      <c r="BB7" s="10">
        <v>0.5</v>
      </c>
      <c r="BC7" s="10">
        <v>0.41</v>
      </c>
      <c r="BD7" s="82"/>
      <c r="BE7" s="2">
        <v>0.27</v>
      </c>
      <c r="BF7" s="2">
        <v>0.3</v>
      </c>
      <c r="BG7" s="2">
        <v>0.38</v>
      </c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s="52" customFormat="1">
      <c r="A8" s="24" t="s">
        <v>347</v>
      </c>
      <c r="B8" s="2">
        <v>0</v>
      </c>
      <c r="C8" s="2">
        <v>0</v>
      </c>
      <c r="D8" s="2">
        <v>0</v>
      </c>
      <c r="E8" s="2">
        <v>0</v>
      </c>
      <c r="F8" s="67">
        <v>0.1</v>
      </c>
      <c r="G8" s="67">
        <v>0.12</v>
      </c>
      <c r="H8" s="67">
        <v>0</v>
      </c>
      <c r="I8" s="67">
        <v>0.09</v>
      </c>
      <c r="J8" s="67">
        <v>0.09</v>
      </c>
      <c r="K8" s="67">
        <v>0.09</v>
      </c>
      <c r="L8" s="67">
        <v>0.12</v>
      </c>
      <c r="M8">
        <v>0</v>
      </c>
      <c r="N8" s="2">
        <v>0</v>
      </c>
      <c r="O8">
        <v>0</v>
      </c>
      <c r="P8">
        <v>0.08</v>
      </c>
      <c r="Q8">
        <v>0.08</v>
      </c>
      <c r="R8">
        <v>0.26</v>
      </c>
      <c r="S8">
        <v>0.09</v>
      </c>
      <c r="T8" s="2">
        <v>0.47</v>
      </c>
      <c r="U8" s="2">
        <v>0.69</v>
      </c>
      <c r="V8" s="2">
        <v>0.75</v>
      </c>
      <c r="W8" s="10">
        <v>0.01</v>
      </c>
      <c r="X8" s="10">
        <v>0.04</v>
      </c>
      <c r="Y8" s="10">
        <v>0</v>
      </c>
      <c r="Z8" s="10">
        <v>0.05</v>
      </c>
      <c r="AA8" s="10">
        <v>0</v>
      </c>
      <c r="AB8" s="10">
        <v>0.08</v>
      </c>
      <c r="AC8" s="2"/>
      <c r="AD8" s="2">
        <v>0.02</v>
      </c>
      <c r="AE8" s="67">
        <v>0.04</v>
      </c>
      <c r="AF8" s="67">
        <v>0.03</v>
      </c>
      <c r="AG8" s="2">
        <v>0.13</v>
      </c>
      <c r="AH8" s="2">
        <v>0.14000000000000001</v>
      </c>
      <c r="AI8" s="10">
        <v>0</v>
      </c>
      <c r="AJ8" s="10">
        <v>0</v>
      </c>
      <c r="AK8" s="10">
        <v>0</v>
      </c>
      <c r="AL8" s="10">
        <v>0.09</v>
      </c>
      <c r="AM8" s="10">
        <v>7.0000000000000007E-2</v>
      </c>
      <c r="AN8" s="10">
        <v>0</v>
      </c>
      <c r="AO8" s="10">
        <v>0.01</v>
      </c>
      <c r="AP8" s="10">
        <v>0.08</v>
      </c>
      <c r="AQ8" s="10">
        <v>0.11</v>
      </c>
      <c r="AR8" s="10">
        <v>0.21</v>
      </c>
      <c r="AS8" s="10">
        <v>0.05</v>
      </c>
      <c r="AT8" s="10">
        <v>0.09</v>
      </c>
      <c r="AU8" s="10">
        <v>0.02</v>
      </c>
      <c r="AV8" s="10">
        <v>0</v>
      </c>
      <c r="AW8" s="10">
        <v>0.08</v>
      </c>
      <c r="AX8" s="10">
        <v>0.02</v>
      </c>
      <c r="AY8" s="10">
        <v>0.09</v>
      </c>
      <c r="AZ8" s="10">
        <v>0</v>
      </c>
      <c r="BA8" s="10">
        <v>0.06</v>
      </c>
      <c r="BB8" s="10">
        <v>7.0000000000000007E-2</v>
      </c>
      <c r="BC8" s="10">
        <v>7.0000000000000007E-2</v>
      </c>
      <c r="BD8" s="82"/>
      <c r="BE8" s="2">
        <v>0.05</v>
      </c>
      <c r="BF8" s="2">
        <v>0.11</v>
      </c>
      <c r="BG8" s="2">
        <v>0.02</v>
      </c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s="52" customFormat="1">
      <c r="A9" s="24" t="s">
        <v>9</v>
      </c>
      <c r="B9" s="2">
        <v>0.1</v>
      </c>
      <c r="C9" s="2">
        <v>7.0000000000000007E-2</v>
      </c>
      <c r="D9" s="2">
        <v>7.0000000000000007E-2</v>
      </c>
      <c r="E9" s="2">
        <v>0.04</v>
      </c>
      <c r="F9" s="67">
        <v>0.01</v>
      </c>
      <c r="G9" s="67">
        <v>0</v>
      </c>
      <c r="H9" s="67">
        <v>0.03</v>
      </c>
      <c r="I9" s="67">
        <v>0.04</v>
      </c>
      <c r="J9" s="67">
        <v>0</v>
      </c>
      <c r="K9" s="67">
        <v>0.05</v>
      </c>
      <c r="L9" s="67">
        <v>0.03</v>
      </c>
      <c r="M9">
        <v>0</v>
      </c>
      <c r="N9" s="2">
        <v>0</v>
      </c>
      <c r="O9">
        <v>0.04</v>
      </c>
      <c r="P9">
        <v>0.03</v>
      </c>
      <c r="Q9">
        <v>0</v>
      </c>
      <c r="R9">
        <v>0</v>
      </c>
      <c r="S9">
        <v>0</v>
      </c>
      <c r="T9" s="2">
        <v>0</v>
      </c>
      <c r="U9" s="2">
        <v>0</v>
      </c>
      <c r="V9" s="2">
        <v>0.03</v>
      </c>
      <c r="W9" s="10">
        <v>0.03</v>
      </c>
      <c r="X9" s="10">
        <v>0</v>
      </c>
      <c r="Y9" s="10">
        <v>0.03</v>
      </c>
      <c r="Z9" s="10">
        <v>0</v>
      </c>
      <c r="AA9" s="10">
        <v>0.11</v>
      </c>
      <c r="AB9" s="10">
        <v>7.0000000000000007E-2</v>
      </c>
      <c r="AC9" s="2"/>
      <c r="AD9" s="2">
        <v>0</v>
      </c>
      <c r="AE9" s="67">
        <v>0.61</v>
      </c>
      <c r="AF9" s="67">
        <v>0.01</v>
      </c>
      <c r="AG9" s="2">
        <v>0</v>
      </c>
      <c r="AH9" s="2">
        <v>0.03</v>
      </c>
      <c r="AI9" s="10">
        <v>0</v>
      </c>
      <c r="AJ9" s="10">
        <v>0.11</v>
      </c>
      <c r="AK9" s="10">
        <v>0.04</v>
      </c>
      <c r="AL9" s="10">
        <v>0</v>
      </c>
      <c r="AM9" s="10">
        <v>0.02</v>
      </c>
      <c r="AN9" s="10">
        <v>0.01</v>
      </c>
      <c r="AO9" s="10">
        <v>0</v>
      </c>
      <c r="AP9" s="10">
        <v>7.0000000000000007E-2</v>
      </c>
      <c r="AQ9" s="10">
        <v>7.0000000000000007E-2</v>
      </c>
      <c r="AR9" s="10">
        <v>0.03</v>
      </c>
      <c r="AS9" s="10">
        <v>0.05</v>
      </c>
      <c r="AT9" s="10">
        <v>0.01</v>
      </c>
      <c r="AU9" s="10">
        <v>0.09</v>
      </c>
      <c r="AV9" s="10">
        <v>0</v>
      </c>
      <c r="AW9" s="10">
        <v>0.03</v>
      </c>
      <c r="AX9" s="10">
        <v>0</v>
      </c>
      <c r="AY9" s="10">
        <v>0.02</v>
      </c>
      <c r="AZ9" s="10">
        <v>0</v>
      </c>
      <c r="BA9" s="10">
        <v>0.03</v>
      </c>
      <c r="BB9" s="10">
        <v>0.05</v>
      </c>
      <c r="BC9" s="10">
        <v>0.03</v>
      </c>
      <c r="BD9" s="82"/>
      <c r="BE9" s="2">
        <v>0</v>
      </c>
      <c r="BF9" s="2">
        <v>0.23</v>
      </c>
      <c r="BG9" s="2">
        <v>0.05</v>
      </c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  <row r="10" spans="1:74" s="52" customFormat="1">
      <c r="A10" s="24" t="s">
        <v>118</v>
      </c>
      <c r="B10" s="2">
        <v>1.47</v>
      </c>
      <c r="C10" s="2">
        <v>1.51</v>
      </c>
      <c r="D10" s="2">
        <v>1.76</v>
      </c>
      <c r="E10" s="2">
        <v>1.42</v>
      </c>
      <c r="F10" s="67">
        <v>1.73</v>
      </c>
      <c r="G10" s="67">
        <v>1.24</v>
      </c>
      <c r="H10" s="67">
        <v>1.1399999999999999</v>
      </c>
      <c r="I10" s="67">
        <v>1.76</v>
      </c>
      <c r="J10" s="67">
        <v>1.54</v>
      </c>
      <c r="K10" s="67">
        <v>1.43</v>
      </c>
      <c r="L10" s="67">
        <v>1.33</v>
      </c>
      <c r="M10">
        <v>2.09</v>
      </c>
      <c r="N10" s="2">
        <v>1.8</v>
      </c>
      <c r="O10">
        <v>2.0699999999999998</v>
      </c>
      <c r="P10">
        <v>2.04</v>
      </c>
      <c r="Q10">
        <v>2.13</v>
      </c>
      <c r="R10">
        <v>1.82</v>
      </c>
      <c r="S10">
        <v>2.0299999999999998</v>
      </c>
      <c r="T10" s="2">
        <v>1.1299999999999999</v>
      </c>
      <c r="U10" s="2">
        <v>1.31</v>
      </c>
      <c r="V10" s="2">
        <v>1.1499999999999999</v>
      </c>
      <c r="W10" s="10">
        <v>2.2000000000000002</v>
      </c>
      <c r="X10" s="10">
        <v>2.4300000000000002</v>
      </c>
      <c r="Y10" s="10">
        <v>2.04</v>
      </c>
      <c r="Z10" s="10">
        <v>2.11</v>
      </c>
      <c r="AA10" s="10">
        <v>2.14</v>
      </c>
      <c r="AB10" s="10">
        <v>1.89</v>
      </c>
      <c r="AC10" s="2"/>
      <c r="AD10" s="2">
        <v>1.41</v>
      </c>
      <c r="AE10" s="67">
        <v>1.2</v>
      </c>
      <c r="AF10" s="67">
        <v>1.29</v>
      </c>
      <c r="AG10" s="2">
        <v>1.31</v>
      </c>
      <c r="AH10" s="2">
        <v>1.23</v>
      </c>
      <c r="AI10" s="10">
        <v>1.43</v>
      </c>
      <c r="AJ10" s="10">
        <v>1.43</v>
      </c>
      <c r="AK10" s="10">
        <v>1.75</v>
      </c>
      <c r="AL10" s="10">
        <v>1.38</v>
      </c>
      <c r="AM10" s="10">
        <v>1.41</v>
      </c>
      <c r="AN10" s="10">
        <v>1.29</v>
      </c>
      <c r="AO10" s="10">
        <v>1.21</v>
      </c>
      <c r="AP10" s="10">
        <v>1.23</v>
      </c>
      <c r="AQ10" s="10">
        <v>1.26</v>
      </c>
      <c r="AR10" s="10">
        <v>1.39</v>
      </c>
      <c r="AS10" s="10">
        <v>2.0099999999999998</v>
      </c>
      <c r="AT10" s="10">
        <v>1.62</v>
      </c>
      <c r="AU10" s="10">
        <v>1.38</v>
      </c>
      <c r="AV10" s="10">
        <v>1.39</v>
      </c>
      <c r="AW10" s="10">
        <v>1.33</v>
      </c>
      <c r="AX10" s="10">
        <v>1.39</v>
      </c>
      <c r="AY10" s="10">
        <v>1.2</v>
      </c>
      <c r="AZ10" s="10">
        <v>1.17</v>
      </c>
      <c r="BA10" s="10">
        <v>1.47</v>
      </c>
      <c r="BB10" s="10">
        <v>1.31</v>
      </c>
      <c r="BC10" s="10">
        <v>1.61</v>
      </c>
      <c r="BD10" s="82"/>
      <c r="BE10" s="2">
        <v>1.81</v>
      </c>
      <c r="BF10" s="2">
        <v>1.71</v>
      </c>
      <c r="BG10" s="2">
        <v>1.69</v>
      </c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s="52" customFormat="1">
      <c r="A11" s="24" t="s">
        <v>11</v>
      </c>
      <c r="B11" s="2">
        <v>0</v>
      </c>
      <c r="C11" s="2">
        <v>0</v>
      </c>
      <c r="D11" s="2">
        <v>0</v>
      </c>
      <c r="E11" s="2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>
        <v>0</v>
      </c>
      <c r="N11" s="2">
        <v>0</v>
      </c>
      <c r="O11">
        <v>0</v>
      </c>
      <c r="P11">
        <v>7.0000000000000007E-2</v>
      </c>
      <c r="Q11">
        <v>0</v>
      </c>
      <c r="R11">
        <v>0</v>
      </c>
      <c r="S11">
        <v>0.09</v>
      </c>
      <c r="T11" s="2">
        <v>0.03</v>
      </c>
      <c r="U11" s="2">
        <v>7.0000000000000007E-2</v>
      </c>
      <c r="V11" s="2">
        <v>0</v>
      </c>
      <c r="W11" s="10">
        <v>0.08</v>
      </c>
      <c r="X11" s="10">
        <v>0</v>
      </c>
      <c r="Y11" s="10">
        <v>0</v>
      </c>
      <c r="Z11" s="10">
        <v>0</v>
      </c>
      <c r="AA11" s="10">
        <v>0.08</v>
      </c>
      <c r="AB11" s="10">
        <v>0.03</v>
      </c>
      <c r="AC11" s="2"/>
      <c r="AD11" s="2">
        <v>0</v>
      </c>
      <c r="AE11" s="67">
        <v>0</v>
      </c>
      <c r="AF11" s="67">
        <v>0</v>
      </c>
      <c r="AG11" s="2">
        <v>0</v>
      </c>
      <c r="AH11" s="2">
        <v>0</v>
      </c>
      <c r="AI11" s="10">
        <v>0</v>
      </c>
      <c r="AJ11" s="10">
        <v>0</v>
      </c>
      <c r="AK11" s="10">
        <v>0</v>
      </c>
      <c r="AL11" s="10">
        <v>0.01</v>
      </c>
      <c r="AM11" s="10">
        <v>0</v>
      </c>
      <c r="AN11" s="10">
        <v>0.06</v>
      </c>
      <c r="AO11" s="10">
        <v>0</v>
      </c>
      <c r="AP11" s="10">
        <v>0.01</v>
      </c>
      <c r="AQ11" s="10">
        <v>0</v>
      </c>
      <c r="AR11" s="10">
        <v>0.03</v>
      </c>
      <c r="AS11" s="10">
        <v>0</v>
      </c>
      <c r="AT11" s="10">
        <v>0.04</v>
      </c>
      <c r="AU11" s="10">
        <v>0</v>
      </c>
      <c r="AV11" s="10">
        <v>0.03</v>
      </c>
      <c r="AW11" s="10">
        <v>0.04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82"/>
      <c r="BE11" s="2">
        <v>0.06</v>
      </c>
      <c r="BF11" s="2">
        <v>0.04</v>
      </c>
      <c r="BG11" s="2">
        <v>0</v>
      </c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s="52" customFormat="1">
      <c r="A12" s="24" t="s">
        <v>12</v>
      </c>
      <c r="B12" s="2">
        <v>0.48</v>
      </c>
      <c r="C12" s="2">
        <v>0.42</v>
      </c>
      <c r="D12" s="2">
        <v>0.9</v>
      </c>
      <c r="E12" s="2">
        <v>0.81</v>
      </c>
      <c r="F12" s="67">
        <v>0.61</v>
      </c>
      <c r="G12" s="67">
        <v>0.99</v>
      </c>
      <c r="H12" s="67">
        <v>0.7</v>
      </c>
      <c r="I12" s="67">
        <v>1.17</v>
      </c>
      <c r="J12" s="67">
        <v>0.61</v>
      </c>
      <c r="K12" s="67">
        <v>0.63</v>
      </c>
      <c r="L12" s="67">
        <v>0.61</v>
      </c>
      <c r="M12">
        <v>0.53</v>
      </c>
      <c r="N12" s="2">
        <v>0.42</v>
      </c>
      <c r="O12">
        <v>0.56000000000000005</v>
      </c>
      <c r="P12">
        <v>0.47</v>
      </c>
      <c r="Q12">
        <v>0.37</v>
      </c>
      <c r="R12">
        <v>0.55000000000000004</v>
      </c>
      <c r="S12">
        <v>0.62</v>
      </c>
      <c r="T12" s="2">
        <v>1.61</v>
      </c>
      <c r="U12" s="2">
        <v>1.42</v>
      </c>
      <c r="V12" s="2">
        <v>1.44</v>
      </c>
      <c r="W12" s="11">
        <v>0.69</v>
      </c>
      <c r="X12" s="11">
        <v>0.88</v>
      </c>
      <c r="Y12" s="11">
        <v>1.1200000000000001</v>
      </c>
      <c r="Z12" s="11">
        <v>0.41</v>
      </c>
      <c r="AA12" s="11">
        <v>0.87</v>
      </c>
      <c r="AB12" s="11">
        <v>0.76</v>
      </c>
      <c r="AC12" s="2"/>
      <c r="AD12" s="2">
        <v>0.96</v>
      </c>
      <c r="AE12" s="67">
        <v>0.48</v>
      </c>
      <c r="AF12" s="67">
        <v>1.19</v>
      </c>
      <c r="AG12" s="2">
        <v>0.99</v>
      </c>
      <c r="AH12" s="2">
        <v>0.96</v>
      </c>
      <c r="AI12" s="10">
        <v>1.03</v>
      </c>
      <c r="AJ12" s="10">
        <v>1.27</v>
      </c>
      <c r="AK12" s="10">
        <v>1.29</v>
      </c>
      <c r="AL12" s="10">
        <v>0.98</v>
      </c>
      <c r="AM12" s="10">
        <v>1.22</v>
      </c>
      <c r="AN12" s="10">
        <v>1.35</v>
      </c>
      <c r="AO12" s="10">
        <v>1.1100000000000001</v>
      </c>
      <c r="AP12" s="10">
        <v>1.1299999999999999</v>
      </c>
      <c r="AQ12" s="10">
        <v>1.05</v>
      </c>
      <c r="AR12" s="10">
        <v>1.35</v>
      </c>
      <c r="AS12" s="10">
        <v>1.22</v>
      </c>
      <c r="AT12" s="10">
        <v>1.17</v>
      </c>
      <c r="AU12" s="10">
        <v>1.07</v>
      </c>
      <c r="AV12" s="10">
        <v>0.9</v>
      </c>
      <c r="AW12" s="10">
        <v>0.89</v>
      </c>
      <c r="AX12" s="10">
        <v>1.25</v>
      </c>
      <c r="AY12" s="10">
        <v>1.22</v>
      </c>
      <c r="AZ12" s="10">
        <v>1.0900000000000001</v>
      </c>
      <c r="BA12" s="10">
        <v>1</v>
      </c>
      <c r="BB12" s="10">
        <v>1.4</v>
      </c>
      <c r="BC12" s="10">
        <v>0.81</v>
      </c>
      <c r="BD12" s="82"/>
      <c r="BE12" s="2">
        <v>0.92</v>
      </c>
      <c r="BF12" s="2">
        <v>1.1499999999999999</v>
      </c>
      <c r="BG12" s="2">
        <v>0.96</v>
      </c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</row>
    <row r="13" spans="1:74" s="52" customFormat="1">
      <c r="A13" s="24" t="s">
        <v>13</v>
      </c>
      <c r="B13" s="2">
        <v>51.51</v>
      </c>
      <c r="C13" s="2">
        <v>50.72</v>
      </c>
      <c r="D13" s="2">
        <v>50.25</v>
      </c>
      <c r="E13" s="2">
        <v>49.68</v>
      </c>
      <c r="F13" s="67">
        <v>51.69</v>
      </c>
      <c r="G13" s="67">
        <v>51.03</v>
      </c>
      <c r="H13" s="67">
        <v>52.94</v>
      </c>
      <c r="I13" s="67">
        <v>50.97</v>
      </c>
      <c r="J13" s="67">
        <v>53.48</v>
      </c>
      <c r="K13" s="67">
        <v>53.53</v>
      </c>
      <c r="L13" s="67">
        <v>52.3</v>
      </c>
      <c r="M13">
        <v>48.67</v>
      </c>
      <c r="N13" s="2">
        <v>50.45</v>
      </c>
      <c r="O13">
        <v>50.47</v>
      </c>
      <c r="P13">
        <v>50.16</v>
      </c>
      <c r="Q13">
        <v>51.12</v>
      </c>
      <c r="R13">
        <v>48.84</v>
      </c>
      <c r="S13">
        <v>49.96</v>
      </c>
      <c r="T13" s="2">
        <v>47.39</v>
      </c>
      <c r="U13" s="2">
        <v>47.81</v>
      </c>
      <c r="V13" s="2">
        <v>47.55</v>
      </c>
      <c r="W13" s="11">
        <v>50.77</v>
      </c>
      <c r="X13" s="11">
        <v>49.5</v>
      </c>
      <c r="Y13" s="11">
        <v>49.39</v>
      </c>
      <c r="Z13" s="11">
        <v>49.88</v>
      </c>
      <c r="AA13" s="11">
        <v>48.15</v>
      </c>
      <c r="AB13" s="11">
        <v>48.96</v>
      </c>
      <c r="AC13" s="2"/>
      <c r="AD13" s="2">
        <v>50.52</v>
      </c>
      <c r="AE13" s="67">
        <v>52.67</v>
      </c>
      <c r="AF13" s="67">
        <v>51.49</v>
      </c>
      <c r="AG13" s="2">
        <v>51.91</v>
      </c>
      <c r="AH13" s="2">
        <v>51.77</v>
      </c>
      <c r="AI13" s="11">
        <v>49.87</v>
      </c>
      <c r="AJ13" s="11">
        <v>48.6</v>
      </c>
      <c r="AK13" s="11">
        <v>50.04</v>
      </c>
      <c r="AL13" s="11">
        <v>49.66</v>
      </c>
      <c r="AM13" s="11">
        <v>48.73</v>
      </c>
      <c r="AN13" s="11">
        <v>48.67</v>
      </c>
      <c r="AO13" s="11">
        <v>48.45</v>
      </c>
      <c r="AP13" s="11">
        <v>48.28</v>
      </c>
      <c r="AQ13" s="11">
        <v>49.35</v>
      </c>
      <c r="AR13" s="11">
        <v>48.64</v>
      </c>
      <c r="AS13" s="11">
        <v>48.3</v>
      </c>
      <c r="AT13" s="11">
        <v>48.36</v>
      </c>
      <c r="AU13" s="11">
        <v>49.35</v>
      </c>
      <c r="AV13" s="11">
        <v>49.52</v>
      </c>
      <c r="AW13" s="11">
        <v>50.45</v>
      </c>
      <c r="AX13" s="11">
        <v>50.14</v>
      </c>
      <c r="AY13" s="11">
        <v>50.35</v>
      </c>
      <c r="AZ13" s="11">
        <v>50.71</v>
      </c>
      <c r="BA13" s="11">
        <v>52.69</v>
      </c>
      <c r="BB13" s="11">
        <v>50.67</v>
      </c>
      <c r="BC13" s="11">
        <v>50.7</v>
      </c>
      <c r="BD13" s="82"/>
      <c r="BE13" s="2">
        <v>48.77</v>
      </c>
      <c r="BF13" s="2">
        <v>48.26</v>
      </c>
      <c r="BG13" s="2">
        <v>48</v>
      </c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</row>
    <row r="14" spans="1:74" s="52" customFormat="1">
      <c r="A14" s="24" t="s">
        <v>14</v>
      </c>
      <c r="B14" s="2">
        <v>26.22</v>
      </c>
      <c r="C14" s="2">
        <v>26.23</v>
      </c>
      <c r="D14" s="2">
        <v>28.4</v>
      </c>
      <c r="E14" s="2">
        <v>28.52</v>
      </c>
      <c r="F14" s="67">
        <v>29.29</v>
      </c>
      <c r="G14" s="67">
        <v>31.01</v>
      </c>
      <c r="H14" s="67">
        <v>29.21</v>
      </c>
      <c r="I14" s="67">
        <v>30.98</v>
      </c>
      <c r="J14" s="67">
        <v>28.27</v>
      </c>
      <c r="K14" s="67">
        <v>29.05</v>
      </c>
      <c r="L14" s="67">
        <v>29.05</v>
      </c>
      <c r="M14">
        <v>27.23</v>
      </c>
      <c r="N14" s="2">
        <v>25.52</v>
      </c>
      <c r="O14">
        <v>25.94</v>
      </c>
      <c r="P14">
        <v>25.34</v>
      </c>
      <c r="Q14">
        <v>25.65</v>
      </c>
      <c r="R14">
        <v>27.49</v>
      </c>
      <c r="S14">
        <v>26.22</v>
      </c>
      <c r="T14" s="2">
        <v>30.8</v>
      </c>
      <c r="U14" s="2">
        <v>30.38</v>
      </c>
      <c r="V14" s="2">
        <v>29.9</v>
      </c>
      <c r="W14" s="10">
        <v>30.67</v>
      </c>
      <c r="X14" s="10">
        <v>30.15</v>
      </c>
      <c r="Y14" s="10">
        <v>30.16</v>
      </c>
      <c r="Z14" s="10">
        <v>30.28</v>
      </c>
      <c r="AA14" s="10">
        <v>30.12</v>
      </c>
      <c r="AB14" s="10">
        <v>28.79</v>
      </c>
      <c r="AC14" s="2"/>
      <c r="AD14" s="2">
        <v>31.27</v>
      </c>
      <c r="AE14" s="67">
        <v>29.31</v>
      </c>
      <c r="AF14" s="67">
        <v>31.35</v>
      </c>
      <c r="AG14" s="2">
        <v>30.08</v>
      </c>
      <c r="AH14" s="2">
        <v>31.71</v>
      </c>
      <c r="AI14" s="11">
        <v>28.95</v>
      </c>
      <c r="AJ14" s="11">
        <v>30.08</v>
      </c>
      <c r="AK14" s="11">
        <v>30.03</v>
      </c>
      <c r="AL14" s="11">
        <v>28.3</v>
      </c>
      <c r="AM14" s="11">
        <v>29.91</v>
      </c>
      <c r="AN14" s="11">
        <v>30.54</v>
      </c>
      <c r="AO14" s="11">
        <v>30.18</v>
      </c>
      <c r="AP14" s="11">
        <v>30.32</v>
      </c>
      <c r="AQ14" s="11">
        <v>29.2</v>
      </c>
      <c r="AR14" s="11">
        <v>29.87</v>
      </c>
      <c r="AS14" s="11">
        <v>29.99</v>
      </c>
      <c r="AT14" s="11">
        <v>29.66</v>
      </c>
      <c r="AU14" s="11">
        <v>29.38</v>
      </c>
      <c r="AV14" s="11">
        <v>28.52</v>
      </c>
      <c r="AW14" s="11">
        <v>27.84</v>
      </c>
      <c r="AX14" s="11">
        <v>29.99</v>
      </c>
      <c r="AY14" s="11">
        <v>31.22</v>
      </c>
      <c r="AZ14" s="11">
        <v>30.94</v>
      </c>
      <c r="BA14" s="11">
        <v>31.7</v>
      </c>
      <c r="BB14" s="11">
        <v>31.32</v>
      </c>
      <c r="BC14" s="11">
        <v>31.11</v>
      </c>
      <c r="BD14" s="82"/>
      <c r="BE14" s="2">
        <v>28.62</v>
      </c>
      <c r="BF14" s="2">
        <v>28.77</v>
      </c>
      <c r="BG14" s="2">
        <v>28.32</v>
      </c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</row>
    <row r="15" spans="1:74" s="52" customFormat="1">
      <c r="A15" s="24" t="s">
        <v>15</v>
      </c>
      <c r="B15" s="2">
        <v>4.33</v>
      </c>
      <c r="C15" s="2">
        <v>3.91</v>
      </c>
      <c r="D15" s="2">
        <v>3.23</v>
      </c>
      <c r="E15" s="2">
        <v>3.39</v>
      </c>
      <c r="F15" s="67">
        <v>3.72</v>
      </c>
      <c r="G15" s="67">
        <v>3.27</v>
      </c>
      <c r="H15" s="67">
        <v>3.78</v>
      </c>
      <c r="I15" s="67">
        <v>3.43</v>
      </c>
      <c r="J15" s="67">
        <v>4.24</v>
      </c>
      <c r="K15" s="67">
        <v>4.0199999999999996</v>
      </c>
      <c r="L15" s="67">
        <v>3.74</v>
      </c>
      <c r="M15">
        <v>3.43</v>
      </c>
      <c r="N15" s="2">
        <v>4.1500000000000004</v>
      </c>
      <c r="O15">
        <v>3.79</v>
      </c>
      <c r="P15">
        <v>3.67</v>
      </c>
      <c r="Q15">
        <v>3.86</v>
      </c>
      <c r="R15">
        <v>3.27</v>
      </c>
      <c r="S15">
        <v>3.66</v>
      </c>
      <c r="T15" s="2">
        <v>2.5299999999999998</v>
      </c>
      <c r="U15" s="2">
        <v>2.52</v>
      </c>
      <c r="V15" s="2">
        <v>2.59</v>
      </c>
      <c r="W15" s="19">
        <v>3.07</v>
      </c>
      <c r="X15" s="19">
        <v>2.99</v>
      </c>
      <c r="Y15" s="19">
        <v>2.77</v>
      </c>
      <c r="Z15" s="19">
        <v>3.02</v>
      </c>
      <c r="AA15" s="19">
        <v>2.71</v>
      </c>
      <c r="AB15" s="19">
        <v>2.93</v>
      </c>
      <c r="AC15" s="2"/>
      <c r="AD15" s="2">
        <v>3.4</v>
      </c>
      <c r="AE15" s="67">
        <v>3.69</v>
      </c>
      <c r="AF15" s="67">
        <v>2.85</v>
      </c>
      <c r="AG15" s="2">
        <v>3.58</v>
      </c>
      <c r="AH15" s="2">
        <v>3.27</v>
      </c>
      <c r="AI15" s="10">
        <v>3.35</v>
      </c>
      <c r="AJ15" s="10">
        <v>2.97</v>
      </c>
      <c r="AK15" s="10">
        <v>3.13</v>
      </c>
      <c r="AL15" s="10">
        <v>3.65</v>
      </c>
      <c r="AM15" s="10">
        <v>3.05</v>
      </c>
      <c r="AN15" s="10">
        <v>2.7</v>
      </c>
      <c r="AO15" s="10">
        <v>2.78</v>
      </c>
      <c r="AP15" s="10">
        <v>2.85</v>
      </c>
      <c r="AQ15" s="10">
        <v>3.32</v>
      </c>
      <c r="AR15" s="10">
        <v>3.02</v>
      </c>
      <c r="AS15" s="10">
        <v>3.08</v>
      </c>
      <c r="AT15" s="10">
        <v>2.97</v>
      </c>
      <c r="AU15" s="10">
        <v>3.11</v>
      </c>
      <c r="AV15" s="10">
        <v>3.39</v>
      </c>
      <c r="AW15" s="10">
        <v>3.64</v>
      </c>
      <c r="AX15" s="10">
        <v>3.25</v>
      </c>
      <c r="AY15" s="10">
        <v>3.05</v>
      </c>
      <c r="AZ15" s="10">
        <v>2.88</v>
      </c>
      <c r="BA15" s="10">
        <v>3.22</v>
      </c>
      <c r="BB15" s="10">
        <v>3.07</v>
      </c>
      <c r="BC15" s="10">
        <v>3.07</v>
      </c>
      <c r="BD15" s="82"/>
      <c r="BE15" s="2">
        <v>3.43</v>
      </c>
      <c r="BF15" s="2">
        <v>3.23</v>
      </c>
      <c r="BG15" s="2">
        <v>3.1</v>
      </c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  <row r="16" spans="1:74" s="52" customFormat="1">
      <c r="A16" s="4" t="s">
        <v>16</v>
      </c>
      <c r="B16" s="83">
        <f t="shared" ref="B16:Q16" si="0">SUM(B5:B15)</f>
        <v>94.16</v>
      </c>
      <c r="C16" s="83">
        <f t="shared" si="0"/>
        <v>93.11999999999999</v>
      </c>
      <c r="D16" s="83">
        <f t="shared" si="0"/>
        <v>94.970000000000013</v>
      </c>
      <c r="E16" s="83">
        <f t="shared" si="0"/>
        <v>94.07</v>
      </c>
      <c r="F16" s="83">
        <f t="shared" si="0"/>
        <v>97.63</v>
      </c>
      <c r="G16" s="83">
        <f t="shared" si="0"/>
        <v>97.91</v>
      </c>
      <c r="H16" s="83">
        <f t="shared" si="0"/>
        <v>98.13</v>
      </c>
      <c r="I16" s="83">
        <f t="shared" si="0"/>
        <v>98.42</v>
      </c>
      <c r="J16" s="83">
        <f t="shared" si="0"/>
        <v>98.309999999999988</v>
      </c>
      <c r="K16" s="83">
        <f t="shared" si="0"/>
        <v>98.399999999999991</v>
      </c>
      <c r="L16" s="83">
        <f t="shared" si="0"/>
        <v>97.539999999999992</v>
      </c>
      <c r="M16" s="83">
        <f t="shared" si="0"/>
        <v>92.970000000000013</v>
      </c>
      <c r="N16" s="83">
        <f t="shared" si="0"/>
        <v>93.240000000000009</v>
      </c>
      <c r="O16" s="83">
        <f t="shared" si="0"/>
        <v>94.11</v>
      </c>
      <c r="P16" s="83">
        <f t="shared" si="0"/>
        <v>92.64</v>
      </c>
      <c r="Q16" s="83">
        <f t="shared" si="0"/>
        <v>94.2</v>
      </c>
      <c r="R16" s="83">
        <f t="shared" ref="R16:AB16" si="1">SUM(R5:R15)</f>
        <v>93.3</v>
      </c>
      <c r="S16" s="83">
        <f t="shared" si="1"/>
        <v>93.47999999999999</v>
      </c>
      <c r="T16" s="83">
        <f t="shared" si="1"/>
        <v>93.7</v>
      </c>
      <c r="U16" s="83">
        <f t="shared" si="1"/>
        <v>93.679999999999993</v>
      </c>
      <c r="V16" s="83">
        <f t="shared" si="1"/>
        <v>93.13</v>
      </c>
      <c r="W16" s="83">
        <f t="shared" si="1"/>
        <v>97.039999999999992</v>
      </c>
      <c r="X16" s="83">
        <f t="shared" si="1"/>
        <v>96.929999999999993</v>
      </c>
      <c r="Y16" s="83">
        <f t="shared" si="1"/>
        <v>96.32</v>
      </c>
      <c r="Z16" s="83">
        <f t="shared" si="1"/>
        <v>96.53</v>
      </c>
      <c r="AA16" s="83">
        <f t="shared" si="1"/>
        <v>95.03</v>
      </c>
      <c r="AB16" s="83">
        <f t="shared" si="1"/>
        <v>94.4</v>
      </c>
      <c r="AC16" s="83"/>
      <c r="AD16" s="83">
        <f t="shared" ref="AD16:AS16" si="2">SUM(AD5:AD15)</f>
        <v>97.850000000000009</v>
      </c>
      <c r="AE16" s="83">
        <f t="shared" si="2"/>
        <v>97.8</v>
      </c>
      <c r="AF16" s="83">
        <f t="shared" si="2"/>
        <v>97.44</v>
      </c>
      <c r="AG16" s="83">
        <f t="shared" si="2"/>
        <v>97.789999999999992</v>
      </c>
      <c r="AH16" s="83">
        <f t="shared" si="2"/>
        <v>98.22</v>
      </c>
      <c r="AI16" s="83">
        <f t="shared" si="2"/>
        <v>94.589999999999989</v>
      </c>
      <c r="AJ16" s="83">
        <f t="shared" si="2"/>
        <v>94.03</v>
      </c>
      <c r="AK16" s="83">
        <f t="shared" si="2"/>
        <v>96.16</v>
      </c>
      <c r="AL16" s="83">
        <f t="shared" si="2"/>
        <v>94.210000000000008</v>
      </c>
      <c r="AM16" s="83">
        <f t="shared" si="2"/>
        <v>94.46</v>
      </c>
      <c r="AN16" s="83">
        <f t="shared" si="2"/>
        <v>94.49</v>
      </c>
      <c r="AO16" s="83">
        <f t="shared" si="2"/>
        <v>93.77000000000001</v>
      </c>
      <c r="AP16" s="83">
        <f t="shared" si="2"/>
        <v>94.31</v>
      </c>
      <c r="AQ16" s="83">
        <f t="shared" si="2"/>
        <v>94.36999999999999</v>
      </c>
      <c r="AR16" s="83">
        <f t="shared" si="2"/>
        <v>94.31</v>
      </c>
      <c r="AS16" s="83">
        <f t="shared" si="2"/>
        <v>94.919999999999987</v>
      </c>
      <c r="AT16" s="83">
        <f t="shared" ref="AT16:BC16" si="3">SUM(AT5:AT15)</f>
        <v>93.759999999999991</v>
      </c>
      <c r="AU16" s="83">
        <f t="shared" si="3"/>
        <v>94.53</v>
      </c>
      <c r="AV16" s="83">
        <f t="shared" si="3"/>
        <v>94.02</v>
      </c>
      <c r="AW16" s="83">
        <f t="shared" si="3"/>
        <v>94.65</v>
      </c>
      <c r="AX16" s="83">
        <f t="shared" si="3"/>
        <v>95.75</v>
      </c>
      <c r="AY16" s="83">
        <f t="shared" si="3"/>
        <v>97.13</v>
      </c>
      <c r="AZ16" s="83">
        <f t="shared" si="3"/>
        <v>95.83</v>
      </c>
      <c r="BA16" s="83">
        <f t="shared" si="3"/>
        <v>99.679999999999993</v>
      </c>
      <c r="BB16" s="83">
        <f t="shared" si="3"/>
        <v>97.69</v>
      </c>
      <c r="BC16" s="83">
        <f t="shared" si="3"/>
        <v>97.69</v>
      </c>
      <c r="BD16" s="82"/>
      <c r="BE16" s="83">
        <f>SUM(BE5:BE15)</f>
        <v>92.480000000000018</v>
      </c>
      <c r="BF16" s="83">
        <f>SUM(BF5:BF15)</f>
        <v>92.87</v>
      </c>
      <c r="BG16" s="83">
        <f>SUM(BG5:BG15)</f>
        <v>91.389999999999986</v>
      </c>
      <c r="BH16" s="83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s="81" customFormat="1">
      <c r="A17" s="44" t="s">
        <v>348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0"/>
      <c r="BE17" s="84"/>
      <c r="BF17" s="84"/>
      <c r="BG17" s="84"/>
      <c r="BH17" s="84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</row>
    <row r="18" spans="1:74" s="50" customFormat="1">
      <c r="A18" s="5" t="s">
        <v>349</v>
      </c>
      <c r="B18" s="70">
        <f t="shared" ref="B18:Q18" si="4">B13/60.09*(11/((B6/56.08)+(B7/79.9*2)+(B10/71.85)+(B9/70.94)+(B8/152.02*3)+(B13/60.09*2)+(B14/101.94*3)+(B15/40.32)+(B11/74.71)+(B5/94.2)+(B12/61.982)))</f>
        <v>3.447554752528295</v>
      </c>
      <c r="C18" s="70">
        <f t="shared" si="4"/>
        <v>3.4406397853393251</v>
      </c>
      <c r="D18" s="70">
        <f t="shared" si="4"/>
        <v>3.3501973454857348</v>
      </c>
      <c r="E18" s="70">
        <f t="shared" si="4"/>
        <v>3.336007401187445</v>
      </c>
      <c r="F18" s="70">
        <f t="shared" si="4"/>
        <v>3.3478982945736613</v>
      </c>
      <c r="G18" s="70">
        <f t="shared" si="4"/>
        <v>3.2863154570077189</v>
      </c>
      <c r="H18" s="70">
        <f t="shared" si="4"/>
        <v>3.390566981013345</v>
      </c>
      <c r="I18" s="70">
        <f t="shared" si="4"/>
        <v>3.2714477571139096</v>
      </c>
      <c r="J18" s="70">
        <f t="shared" si="4"/>
        <v>3.4221404140916634</v>
      </c>
      <c r="K18" s="70">
        <f t="shared" si="4"/>
        <v>3.4079798873773699</v>
      </c>
      <c r="L18" s="70">
        <f t="shared" si="4"/>
        <v>3.3774121323055373</v>
      </c>
      <c r="M18" s="70">
        <f t="shared" si="4"/>
        <v>3.3360281458765635</v>
      </c>
      <c r="N18" s="70">
        <f t="shared" si="4"/>
        <v>3.4366831056453462</v>
      </c>
      <c r="O18" s="70">
        <f t="shared" si="4"/>
        <v>3.4176747872837758</v>
      </c>
      <c r="P18" s="70">
        <f t="shared" si="4"/>
        <v>3.4433367807586839</v>
      </c>
      <c r="Q18" s="70">
        <f t="shared" si="4"/>
        <v>3.4456915970598634</v>
      </c>
      <c r="R18" s="70">
        <f t="shared" ref="R18:AB18" si="5">R13/60.09*(11/((R6/56.08)+(R7/79.9*2)+(R10/71.85)+(R9/70.94)+(R8/152.02*3)+(R13/60.09*2)+(R14/101.94*3)+(R15/40.32)+(R11/74.71)+(R5/94.2)+(R12/61.982)))</f>
        <v>3.3344076406289767</v>
      </c>
      <c r="S18" s="70">
        <f t="shared" si="5"/>
        <v>3.3989087827434172</v>
      </c>
      <c r="T18" s="70">
        <f t="shared" si="5"/>
        <v>3.2026565762732129</v>
      </c>
      <c r="U18" s="70">
        <f t="shared" si="5"/>
        <v>3.2295268413579574</v>
      </c>
      <c r="V18" s="70">
        <f t="shared" si="5"/>
        <v>3.2343937301800993</v>
      </c>
      <c r="W18" s="70">
        <f t="shared" si="5"/>
        <v>3.292815300291851</v>
      </c>
      <c r="X18" s="70">
        <f t="shared" si="5"/>
        <v>3.2525346916434739</v>
      </c>
      <c r="Y18" s="70">
        <f t="shared" si="5"/>
        <v>3.2599167778899325</v>
      </c>
      <c r="Z18" s="70">
        <f t="shared" si="5"/>
        <v>3.2766515287316582</v>
      </c>
      <c r="AA18" s="70">
        <f t="shared" si="5"/>
        <v>3.2309579607056982</v>
      </c>
      <c r="AB18" s="70">
        <f t="shared" si="5"/>
        <v>3.3001776029204266</v>
      </c>
      <c r="AC18" s="70"/>
      <c r="AD18" s="70">
        <f t="shared" ref="AD18:AS18" si="6">AD13/60.09*(11/((AD6/56.08)+(AD7/79.9*2)+(AD10/71.85)+(AD9/70.94)+(AD8/152.02*3)+(AD13/60.09*2)+(AD14/101.94*3)+(AD15/40.32)+(AD11/74.71)+(AD5/94.2)+(AD12/61.982)))</f>
        <v>3.257099258807985</v>
      </c>
      <c r="AE18" s="70">
        <f t="shared" si="6"/>
        <v>3.3787378463873678</v>
      </c>
      <c r="AF18" s="70">
        <f t="shared" si="6"/>
        <v>3.3073658814535043</v>
      </c>
      <c r="AG18" s="70">
        <f t="shared" si="6"/>
        <v>3.3378398684251747</v>
      </c>
      <c r="AH18" s="70">
        <f t="shared" si="6"/>
        <v>3.2951754159456477</v>
      </c>
      <c r="AI18" s="70">
        <f t="shared" si="6"/>
        <v>3.329481185235514</v>
      </c>
      <c r="AJ18" s="70">
        <f t="shared" si="6"/>
        <v>3.2624473013060569</v>
      </c>
      <c r="AK18" s="70">
        <f t="shared" si="6"/>
        <v>3.2887164488721297</v>
      </c>
      <c r="AL18" s="70">
        <f t="shared" si="6"/>
        <v>3.3343034087062873</v>
      </c>
      <c r="AM18" s="70">
        <f t="shared" si="6"/>
        <v>3.2640694597929119</v>
      </c>
      <c r="AN18" s="70">
        <f t="shared" si="6"/>
        <v>3.254940449817123</v>
      </c>
      <c r="AO18" s="70">
        <f t="shared" si="6"/>
        <v>3.2642963093000206</v>
      </c>
      <c r="AP18" s="70">
        <f t="shared" si="6"/>
        <v>3.2432534902360599</v>
      </c>
      <c r="AQ18" s="70">
        <f t="shared" si="6"/>
        <v>3.3029734963629882</v>
      </c>
      <c r="AR18" s="70">
        <f t="shared" si="6"/>
        <v>3.261081791792332</v>
      </c>
      <c r="AS18" s="70">
        <f t="shared" si="6"/>
        <v>3.236057012504546</v>
      </c>
      <c r="AT18" s="70">
        <f t="shared" ref="AT18:BC18" si="7">AT13/60.09*(11/((AT6/56.08)+(AT7/79.9*2)+(AT10/71.85)+(AT9/70.94)+(AT8/152.02*3)+(AT13/60.09*2)+(AT14/101.94*3)+(AT15/40.32)+(AT11/74.71)+(AT5/94.2)+(AT12/61.982)))</f>
        <v>3.2659082960458337</v>
      </c>
      <c r="AU18" s="70">
        <f t="shared" si="7"/>
        <v>3.2998578704368238</v>
      </c>
      <c r="AV18" s="70">
        <f t="shared" si="7"/>
        <v>3.3319540185618717</v>
      </c>
      <c r="AW18" s="70">
        <f t="shared" si="7"/>
        <v>3.3714477170075456</v>
      </c>
      <c r="AX18" s="70">
        <f t="shared" si="7"/>
        <v>3.3009042412750125</v>
      </c>
      <c r="AY18" s="70">
        <f t="shared" si="7"/>
        <v>3.2674848834161585</v>
      </c>
      <c r="AZ18" s="70">
        <f t="shared" si="7"/>
        <v>3.3096614174983428</v>
      </c>
      <c r="BA18" s="70">
        <f t="shared" si="7"/>
        <v>3.3111755734362447</v>
      </c>
      <c r="BB18" s="70">
        <f t="shared" si="7"/>
        <v>3.267637404847517</v>
      </c>
      <c r="BC18" s="70">
        <f t="shared" si="7"/>
        <v>3.2773751296778566</v>
      </c>
      <c r="BD18" s="85"/>
      <c r="BE18" s="70">
        <f>BE13/60.09*(11/((BE6/56.08)+(BE7/79.9*2)+(BE10/71.85)+(BE9/70.94)+(BE8/152.02*3)+(BE13/60.09*2)+(BE14/101.94*3)+(BE15/40.32)+(BE11/74.71)+(BE5/94.2)+(BE12/61.982)))</f>
        <v>3.318988480685281</v>
      </c>
      <c r="BF18" s="70">
        <f>BF13/60.09*(11/((BF6/56.08)+(BF7/79.9*2)+(BF10/71.85)+(BF9/70.94)+(BF8/152.02*3)+(BF13/60.09*2)+(BF14/101.94*3)+(BF15/40.32)+(BF11/74.71)+(BF5/94.2)+(BF12/61.982)))</f>
        <v>3.2901176535642458</v>
      </c>
      <c r="BG18" s="70">
        <f>BG13/60.09*(11/((BG6/56.08)+(BG7/79.9*2)+(BG10/71.85)+(BG9/70.94)+(BG8/152.02*3)+(BG13/60.09*2)+(BG14/101.94*3)+(BG15/40.32)+(BG11/74.71)+(BG5/94.2)+(BG12/61.982)))</f>
        <v>3.313381942888161</v>
      </c>
      <c r="BH18" s="70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</row>
    <row r="19" spans="1:74" s="50" customFormat="1">
      <c r="A19" s="14" t="s">
        <v>169</v>
      </c>
      <c r="B19" s="70">
        <f t="shared" ref="B19:Q19" si="8">(B14/101.94*(11/((B6/56.08)+(B7/79.9*2)+(B10/71.85)+(B9/70.94)+(B8/152.02*3)+(B13/60.09*2)+(B14/101.94*3)+(B15/40.32)+(B11/74.71)+(B5/94.2)+(B12/61.982)))*2)</f>
        <v>2.0689018124610588</v>
      </c>
      <c r="C19" s="70">
        <f t="shared" si="8"/>
        <v>2.0977118090852453</v>
      </c>
      <c r="D19" s="70">
        <f t="shared" si="8"/>
        <v>2.2322366512045435</v>
      </c>
      <c r="E19" s="70">
        <f t="shared" si="8"/>
        <v>2.2577846179880545</v>
      </c>
      <c r="F19" s="70">
        <f t="shared" si="8"/>
        <v>2.2365193814493232</v>
      </c>
      <c r="G19" s="70">
        <f t="shared" si="8"/>
        <v>2.3543607981707972</v>
      </c>
      <c r="H19" s="70">
        <f t="shared" si="8"/>
        <v>2.2055023190305931</v>
      </c>
      <c r="I19" s="70">
        <f t="shared" si="8"/>
        <v>2.3441982616154666</v>
      </c>
      <c r="J19" s="70">
        <f t="shared" si="8"/>
        <v>2.1326510726453742</v>
      </c>
      <c r="K19" s="70">
        <f t="shared" si="8"/>
        <v>2.1803865121680692</v>
      </c>
      <c r="L19" s="70">
        <f t="shared" si="8"/>
        <v>2.2116483586034992</v>
      </c>
      <c r="M19" s="70">
        <f t="shared" si="8"/>
        <v>2.2004098056408083</v>
      </c>
      <c r="N19" s="70">
        <f t="shared" si="8"/>
        <v>2.0494935593864367</v>
      </c>
      <c r="O19" s="70">
        <f t="shared" si="8"/>
        <v>2.07088018204194</v>
      </c>
      <c r="P19" s="70">
        <f t="shared" si="8"/>
        <v>2.0507662180366371</v>
      </c>
      <c r="Q19" s="70">
        <f t="shared" si="8"/>
        <v>2.0382643027791914</v>
      </c>
      <c r="R19" s="70">
        <f t="shared" ref="R19:AB19" si="9">(R14/101.94*(11/((R6/56.08)+(R7/79.9*2)+(R10/71.85)+(R9/70.94)+(R8/152.02*3)+(R13/60.09*2)+(R14/101.94*3)+(R15/40.32)+(R11/74.71)+(R5/94.2)+(R12/61.982)))*2)</f>
        <v>2.2126124279867838</v>
      </c>
      <c r="S19" s="70">
        <f t="shared" si="9"/>
        <v>2.1029906294890579</v>
      </c>
      <c r="T19" s="70">
        <f t="shared" si="9"/>
        <v>2.4539287545120447</v>
      </c>
      <c r="U19" s="70">
        <f t="shared" si="9"/>
        <v>2.4193321385727331</v>
      </c>
      <c r="V19" s="70">
        <f t="shared" si="9"/>
        <v>2.3977346751552018</v>
      </c>
      <c r="W19" s="70">
        <f t="shared" si="9"/>
        <v>2.3451010118765714</v>
      </c>
      <c r="X19" s="70">
        <f t="shared" si="9"/>
        <v>2.335563209124329</v>
      </c>
      <c r="Y19" s="70">
        <f t="shared" si="9"/>
        <v>2.3468557402355139</v>
      </c>
      <c r="Z19" s="70">
        <f t="shared" si="9"/>
        <v>2.3450237911170357</v>
      </c>
      <c r="AA19" s="70">
        <f t="shared" si="9"/>
        <v>2.3827449280132491</v>
      </c>
      <c r="AB19" s="70">
        <f t="shared" si="9"/>
        <v>2.2878373129393013</v>
      </c>
      <c r="AC19" s="70"/>
      <c r="AD19" s="70">
        <f t="shared" ref="AD19:AS19" si="10">(AD14/101.94*(11/((AD6/56.08)+(AD7/79.9*2)+(AD10/71.85)+(AD9/70.94)+(AD8/152.02*3)+(AD13/60.09*2)+(AD14/101.94*3)+(AD15/40.32)+(AD11/74.71)+(AD5/94.2)+(AD12/61.982)))*2)</f>
        <v>2.3767478159725104</v>
      </c>
      <c r="AE19" s="70">
        <f t="shared" si="10"/>
        <v>2.2166369430287327</v>
      </c>
      <c r="AF19" s="70">
        <f t="shared" si="10"/>
        <v>2.374020504770499</v>
      </c>
      <c r="AG19" s="70">
        <f t="shared" si="10"/>
        <v>2.2802363845219187</v>
      </c>
      <c r="AH19" s="70">
        <f t="shared" si="10"/>
        <v>2.3794916565311559</v>
      </c>
      <c r="AI19" s="70">
        <f t="shared" si="10"/>
        <v>2.2786275046855078</v>
      </c>
      <c r="AJ19" s="70">
        <f t="shared" si="10"/>
        <v>2.380524405436292</v>
      </c>
      <c r="AK19" s="70">
        <f t="shared" si="10"/>
        <v>2.326762373316638</v>
      </c>
      <c r="AL19" s="70">
        <f t="shared" si="10"/>
        <v>2.2401257958730914</v>
      </c>
      <c r="AM19" s="70">
        <f t="shared" si="10"/>
        <v>2.3619296830179826</v>
      </c>
      <c r="AN19" s="70">
        <f t="shared" si="10"/>
        <v>2.4078992104499051</v>
      </c>
      <c r="AO19" s="70">
        <f t="shared" si="10"/>
        <v>2.3971907789769284</v>
      </c>
      <c r="AP19" s="70">
        <f t="shared" si="10"/>
        <v>2.4012114195711707</v>
      </c>
      <c r="AQ19" s="70">
        <f t="shared" si="10"/>
        <v>2.3040311890465386</v>
      </c>
      <c r="AR19" s="70">
        <f t="shared" si="10"/>
        <v>2.360972444378036</v>
      </c>
      <c r="AS19" s="70">
        <f t="shared" si="10"/>
        <v>2.3688255015364992</v>
      </c>
      <c r="AT19" s="70">
        <f t="shared" ref="AT19:BC19" si="11">(AT14/101.94*(11/((AT6/56.08)+(AT7/79.9*2)+(AT10/71.85)+(AT9/70.94)+(AT8/152.02*3)+(AT13/60.09*2)+(AT14/101.94*3)+(AT15/40.32)+(AT11/74.71)+(AT5/94.2)+(AT12/61.982)))*2)</f>
        <v>2.3614372566943365</v>
      </c>
      <c r="AU19" s="70">
        <f t="shared" si="11"/>
        <v>2.3160473791969891</v>
      </c>
      <c r="AV19" s="70">
        <f t="shared" si="11"/>
        <v>2.2623273978111866</v>
      </c>
      <c r="AW19" s="70">
        <f t="shared" si="11"/>
        <v>2.1933708127302145</v>
      </c>
      <c r="AX19" s="70">
        <f t="shared" si="11"/>
        <v>2.3276229587908746</v>
      </c>
      <c r="AY19" s="70">
        <f t="shared" si="11"/>
        <v>2.3885513442943034</v>
      </c>
      <c r="AZ19" s="70">
        <f t="shared" si="11"/>
        <v>2.3806625295445021</v>
      </c>
      <c r="BA19" s="70">
        <f t="shared" si="11"/>
        <v>2.3485555864684975</v>
      </c>
      <c r="BB19" s="70">
        <f t="shared" si="11"/>
        <v>2.3811802859947213</v>
      </c>
      <c r="BC19" s="70">
        <f t="shared" si="11"/>
        <v>2.3708592708486029</v>
      </c>
      <c r="BD19" s="85"/>
      <c r="BE19" s="70">
        <f>(BE14/101.94*(11/((BE6/56.08)+(BE7/79.9*2)+(BE10/71.85)+(BE9/70.94)+(BE8/152.02*3)+(BE13/60.09*2)+(BE14/101.94*3)+(BE15/40.32)+(BE11/74.71)+(BE5/94.2)+(BE12/61.982)))*2)</f>
        <v>2.2962025206227059</v>
      </c>
      <c r="BF19" s="70">
        <f>(BF14/101.94*(11/((BF6/56.08)+(BF7/79.9*2)+(BF10/71.85)+(BF9/70.94)+(BF8/152.02*3)+(BF13/60.09*2)+(BF14/101.94*3)+(BF15/40.32)+(BF11/74.71)+(BF5/94.2)+(BF12/61.982)))*2)</f>
        <v>2.3123392083440257</v>
      </c>
      <c r="BG19" s="70">
        <f>(BG14/101.94*(11/((BG6/56.08)+(BG7/79.9*2)+(BG10/71.85)+(BG9/70.94)+(BG8/152.02*3)+(BG13/60.09*2)+(BG14/101.94*3)+(BG15/40.32)+(BG11/74.71)+(BG5/94.2)+(BG12/61.982)))*2)</f>
        <v>2.3046823888445807</v>
      </c>
      <c r="BH19" s="70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</row>
    <row r="20" spans="1:74" s="5" customFormat="1">
      <c r="A20" s="5" t="s">
        <v>350</v>
      </c>
      <c r="B20" s="71">
        <f t="shared" ref="B20:Q20" si="12">4-B18</f>
        <v>0.55244524747170498</v>
      </c>
      <c r="C20" s="71">
        <f t="shared" si="12"/>
        <v>0.55936021466067487</v>
      </c>
      <c r="D20" s="71">
        <f t="shared" si="12"/>
        <v>0.64980265451426522</v>
      </c>
      <c r="E20" s="71">
        <f t="shared" si="12"/>
        <v>0.66399259881255501</v>
      </c>
      <c r="F20" s="71">
        <f t="shared" si="12"/>
        <v>0.65210170542633872</v>
      </c>
      <c r="G20" s="71">
        <f t="shared" si="12"/>
        <v>0.71368454299228112</v>
      </c>
      <c r="H20" s="71">
        <f t="shared" si="12"/>
        <v>0.60943301898665503</v>
      </c>
      <c r="I20" s="71">
        <f t="shared" si="12"/>
        <v>0.72855224288609044</v>
      </c>
      <c r="J20" s="71">
        <f t="shared" si="12"/>
        <v>0.57785958590833664</v>
      </c>
      <c r="K20" s="71">
        <f t="shared" si="12"/>
        <v>0.5920201126226301</v>
      </c>
      <c r="L20" s="71">
        <f t="shared" si="12"/>
        <v>0.62258786769446273</v>
      </c>
      <c r="M20" s="71">
        <f t="shared" si="12"/>
        <v>0.66397185412343651</v>
      </c>
      <c r="N20" s="71">
        <f t="shared" si="12"/>
        <v>0.56331689435465382</v>
      </c>
      <c r="O20" s="71">
        <f t="shared" si="12"/>
        <v>0.58232521271622417</v>
      </c>
      <c r="P20" s="71">
        <f t="shared" si="12"/>
        <v>0.55666321924131612</v>
      </c>
      <c r="Q20" s="71">
        <f t="shared" si="12"/>
        <v>0.55430840294013661</v>
      </c>
      <c r="R20" s="71">
        <f t="shared" ref="R20:AB20" si="13">4-R18</f>
        <v>0.66559235937102335</v>
      </c>
      <c r="S20" s="71">
        <f t="shared" si="13"/>
        <v>0.60109121725658277</v>
      </c>
      <c r="T20" s="71">
        <f t="shared" si="13"/>
        <v>0.79734342372678713</v>
      </c>
      <c r="U20" s="71">
        <f t="shared" si="13"/>
        <v>0.77047315864204258</v>
      </c>
      <c r="V20" s="71">
        <f t="shared" si="13"/>
        <v>0.76560626981990065</v>
      </c>
      <c r="W20" s="71">
        <f t="shared" si="13"/>
        <v>0.70718469970814901</v>
      </c>
      <c r="X20" s="71">
        <f t="shared" si="13"/>
        <v>0.74746530835652614</v>
      </c>
      <c r="Y20" s="71">
        <f t="shared" si="13"/>
        <v>0.7400832221100675</v>
      </c>
      <c r="Z20" s="71">
        <f t="shared" si="13"/>
        <v>0.72334847126834179</v>
      </c>
      <c r="AA20" s="71">
        <f t="shared" si="13"/>
        <v>0.76904203929430182</v>
      </c>
      <c r="AB20" s="71">
        <f t="shared" si="13"/>
        <v>0.69982239707957339</v>
      </c>
      <c r="AC20" s="71"/>
      <c r="AD20" s="71">
        <f t="shared" ref="AD20:AS20" si="14">4-AD18</f>
        <v>0.74290074119201499</v>
      </c>
      <c r="AE20" s="71">
        <f t="shared" si="14"/>
        <v>0.62126215361263215</v>
      </c>
      <c r="AF20" s="71">
        <f t="shared" si="14"/>
        <v>0.6926341185464957</v>
      </c>
      <c r="AG20" s="71">
        <f t="shared" si="14"/>
        <v>0.66216013157482534</v>
      </c>
      <c r="AH20" s="71">
        <f t="shared" si="14"/>
        <v>0.70482458405435233</v>
      </c>
      <c r="AI20" s="71">
        <f t="shared" si="14"/>
        <v>0.67051881476448605</v>
      </c>
      <c r="AJ20" s="71">
        <f t="shared" si="14"/>
        <v>0.73755269869394313</v>
      </c>
      <c r="AK20" s="71">
        <f t="shared" si="14"/>
        <v>0.71128355112787034</v>
      </c>
      <c r="AL20" s="71">
        <f t="shared" si="14"/>
        <v>0.66569659129371272</v>
      </c>
      <c r="AM20" s="71">
        <f t="shared" si="14"/>
        <v>0.73593054020708815</v>
      </c>
      <c r="AN20" s="71">
        <f t="shared" si="14"/>
        <v>0.74505955018287695</v>
      </c>
      <c r="AO20" s="71">
        <f t="shared" si="14"/>
        <v>0.73570369069997943</v>
      </c>
      <c r="AP20" s="71">
        <f t="shared" si="14"/>
        <v>0.75674650976394009</v>
      </c>
      <c r="AQ20" s="71">
        <f t="shared" si="14"/>
        <v>0.6970265036370118</v>
      </c>
      <c r="AR20" s="71">
        <f t="shared" si="14"/>
        <v>0.73891820820766796</v>
      </c>
      <c r="AS20" s="71">
        <f t="shared" si="14"/>
        <v>0.76394298749545397</v>
      </c>
      <c r="AT20" s="71">
        <f t="shared" ref="AT20:BC20" si="15">4-AT18</f>
        <v>0.73409170395416634</v>
      </c>
      <c r="AU20" s="71">
        <f t="shared" si="15"/>
        <v>0.70014212956317623</v>
      </c>
      <c r="AV20" s="71">
        <f t="shared" si="15"/>
        <v>0.66804598143812832</v>
      </c>
      <c r="AW20" s="71">
        <f t="shared" si="15"/>
        <v>0.62855228299245436</v>
      </c>
      <c r="AX20" s="71">
        <f t="shared" si="15"/>
        <v>0.69909575872498753</v>
      </c>
      <c r="AY20" s="71">
        <f t="shared" si="15"/>
        <v>0.7325151165838415</v>
      </c>
      <c r="AZ20" s="71">
        <f t="shared" si="15"/>
        <v>0.69033858250165725</v>
      </c>
      <c r="BA20" s="71">
        <f t="shared" si="15"/>
        <v>0.68882442656375531</v>
      </c>
      <c r="BB20" s="71">
        <f t="shared" si="15"/>
        <v>0.73236259515248303</v>
      </c>
      <c r="BC20" s="71">
        <f t="shared" si="15"/>
        <v>0.7226248703221434</v>
      </c>
      <c r="BE20" s="71">
        <f>4-BE18</f>
        <v>0.68101151931471904</v>
      </c>
      <c r="BF20" s="71">
        <f>4-BF18</f>
        <v>0.70988234643575421</v>
      </c>
      <c r="BG20" s="71">
        <f>4-BG18</f>
        <v>0.68661805711183899</v>
      </c>
      <c r="BH20" s="71"/>
    </row>
    <row r="21" spans="1:74" s="50" customFormat="1">
      <c r="A21" s="5" t="s">
        <v>351</v>
      </c>
      <c r="B21" s="70">
        <f t="shared" ref="B21:Q21" si="16">(B14/101.94*(11/((B6/56.08)+(B7/79.9*2)+(B10/71.85)+(B9/70.94)+(B8/152.02*3)+(B13/60.09*2)+(B14/101.94*3)+(B15/40.32)+(B11/74.71)+(B5/94.2)+(B12/61.982)))*2)-B20</f>
        <v>1.5164565649893538</v>
      </c>
      <c r="C21" s="70">
        <f t="shared" si="16"/>
        <v>1.5383515944245705</v>
      </c>
      <c r="D21" s="70">
        <f t="shared" si="16"/>
        <v>1.5824339966902783</v>
      </c>
      <c r="E21" s="70">
        <f t="shared" si="16"/>
        <v>1.5937920191754995</v>
      </c>
      <c r="F21" s="70">
        <f t="shared" si="16"/>
        <v>1.5844176760229844</v>
      </c>
      <c r="G21" s="70">
        <f t="shared" si="16"/>
        <v>1.6406762551785161</v>
      </c>
      <c r="H21" s="70">
        <f t="shared" si="16"/>
        <v>1.5960693000439381</v>
      </c>
      <c r="I21" s="70">
        <f t="shared" si="16"/>
        <v>1.6156460187293762</v>
      </c>
      <c r="J21" s="70">
        <f t="shared" si="16"/>
        <v>1.5547914867370376</v>
      </c>
      <c r="K21" s="70">
        <f t="shared" si="16"/>
        <v>1.5883663995454391</v>
      </c>
      <c r="L21" s="70">
        <f t="shared" si="16"/>
        <v>1.5890604909090364</v>
      </c>
      <c r="M21" s="70">
        <f t="shared" si="16"/>
        <v>1.5364379515173718</v>
      </c>
      <c r="N21" s="70">
        <f t="shared" si="16"/>
        <v>1.4861766650317829</v>
      </c>
      <c r="O21" s="70">
        <f t="shared" si="16"/>
        <v>1.4885549693257158</v>
      </c>
      <c r="P21" s="70">
        <f t="shared" si="16"/>
        <v>1.4941029987953209</v>
      </c>
      <c r="Q21" s="70">
        <f t="shared" si="16"/>
        <v>1.4839558998390547</v>
      </c>
      <c r="R21" s="70">
        <f t="shared" ref="R21:AB21" si="17">(R14/101.94*(11/((R6/56.08)+(R7/79.9*2)+(R10/71.85)+(R9/70.94)+(R8/152.02*3)+(R13/60.09*2)+(R14/101.94*3)+(R15/40.32)+(R11/74.71)+(R5/94.2)+(R12/61.982)))*2)-R20</f>
        <v>1.5470200686157605</v>
      </c>
      <c r="S21" s="70">
        <f t="shared" si="17"/>
        <v>1.5018994122324751</v>
      </c>
      <c r="T21" s="70">
        <f t="shared" si="17"/>
        <v>1.6565853307852576</v>
      </c>
      <c r="U21" s="70">
        <f t="shared" si="17"/>
        <v>1.6488589799306905</v>
      </c>
      <c r="V21" s="70">
        <f t="shared" si="17"/>
        <v>1.6321284053353011</v>
      </c>
      <c r="W21" s="70">
        <f t="shared" si="17"/>
        <v>1.6379163121684224</v>
      </c>
      <c r="X21" s="70">
        <f t="shared" si="17"/>
        <v>1.5880979007678029</v>
      </c>
      <c r="Y21" s="70">
        <f t="shared" si="17"/>
        <v>1.6067725181254464</v>
      </c>
      <c r="Z21" s="70">
        <f t="shared" si="17"/>
        <v>1.621675319848694</v>
      </c>
      <c r="AA21" s="70">
        <f t="shared" si="17"/>
        <v>1.6137028887189473</v>
      </c>
      <c r="AB21" s="70">
        <f t="shared" si="17"/>
        <v>1.5880149158597279</v>
      </c>
      <c r="AC21" s="70"/>
      <c r="AD21" s="70">
        <f t="shared" ref="AD21:AS21" si="18">(AD14/101.94*(11/((AD6/56.08)+(AD7/79.9*2)+(AD10/71.85)+(AD9/70.94)+(AD8/152.02*3)+(AD13/60.09*2)+(AD14/101.94*3)+(AD15/40.32)+(AD11/74.71)+(AD5/94.2)+(AD12/61.982)))*2)-AD20</f>
        <v>1.6338470747804954</v>
      </c>
      <c r="AE21" s="70">
        <f t="shared" si="18"/>
        <v>1.5953747894161006</v>
      </c>
      <c r="AF21" s="70">
        <f t="shared" si="18"/>
        <v>1.6813863862240033</v>
      </c>
      <c r="AG21" s="70">
        <f t="shared" si="18"/>
        <v>1.6180762529470933</v>
      </c>
      <c r="AH21" s="70">
        <f t="shared" si="18"/>
        <v>1.6746670724768036</v>
      </c>
      <c r="AI21" s="70">
        <f t="shared" si="18"/>
        <v>1.6081086899210217</v>
      </c>
      <c r="AJ21" s="70">
        <f t="shared" si="18"/>
        <v>1.6429717067423488</v>
      </c>
      <c r="AK21" s="70">
        <f t="shared" si="18"/>
        <v>1.6154788221887677</v>
      </c>
      <c r="AL21" s="70">
        <f t="shared" si="18"/>
        <v>1.5744292045793786</v>
      </c>
      <c r="AM21" s="70">
        <f t="shared" si="18"/>
        <v>1.6259991428108944</v>
      </c>
      <c r="AN21" s="70">
        <f t="shared" si="18"/>
        <v>1.6628396602670281</v>
      </c>
      <c r="AO21" s="70">
        <f t="shared" si="18"/>
        <v>1.661487088276949</v>
      </c>
      <c r="AP21" s="70">
        <f t="shared" si="18"/>
        <v>1.6444649098072306</v>
      </c>
      <c r="AQ21" s="70">
        <f t="shared" si="18"/>
        <v>1.6070046854095268</v>
      </c>
      <c r="AR21" s="70">
        <f t="shared" si="18"/>
        <v>1.622054236170368</v>
      </c>
      <c r="AS21" s="70">
        <f t="shared" si="18"/>
        <v>1.6048825140410452</v>
      </c>
      <c r="AT21" s="70">
        <f t="shared" ref="AT21:BC21" si="19">(AT14/101.94*(11/((AT6/56.08)+(AT7/79.9*2)+(AT10/71.85)+(AT9/70.94)+(AT8/152.02*3)+(AT13/60.09*2)+(AT14/101.94*3)+(AT15/40.32)+(AT11/74.71)+(AT5/94.2)+(AT12/61.982)))*2)-AT20</f>
        <v>1.6273455527401701</v>
      </c>
      <c r="AU21" s="70">
        <f t="shared" si="19"/>
        <v>1.6159052496338129</v>
      </c>
      <c r="AV21" s="70">
        <f t="shared" si="19"/>
        <v>1.5942814163730583</v>
      </c>
      <c r="AW21" s="70">
        <f t="shared" si="19"/>
        <v>1.5648185297377601</v>
      </c>
      <c r="AX21" s="70">
        <f t="shared" si="19"/>
        <v>1.628527200065887</v>
      </c>
      <c r="AY21" s="70">
        <f t="shared" si="19"/>
        <v>1.6560362277104619</v>
      </c>
      <c r="AZ21" s="70">
        <f t="shared" si="19"/>
        <v>1.6903239470428448</v>
      </c>
      <c r="BA21" s="70">
        <f t="shared" si="19"/>
        <v>1.6597311599047422</v>
      </c>
      <c r="BB21" s="70">
        <f t="shared" si="19"/>
        <v>1.6488176908422383</v>
      </c>
      <c r="BC21" s="70">
        <f t="shared" si="19"/>
        <v>1.6482344005264595</v>
      </c>
      <c r="BD21" s="85"/>
      <c r="BE21" s="70">
        <f>(BE14/101.94*(11/((BE6/56.08)+(BE7/79.9*2)+(BE10/71.85)+(BE9/70.94)+(BE8/152.02*3)+(BE13/60.09*2)+(BE14/101.94*3)+(BE15/40.32)+(BE11/74.71)+(BE5/94.2)+(BE12/61.982)))*2)-BE20</f>
        <v>1.6151910013079869</v>
      </c>
      <c r="BF21" s="70">
        <f>(BF14/101.94*(11/((BF6/56.08)+(BF7/79.9*2)+(BF10/71.85)+(BF9/70.94)+(BF8/152.02*3)+(BF13/60.09*2)+(BF14/101.94*3)+(BF15/40.32)+(BF11/74.71)+(BF5/94.2)+(BF12/61.982)))*2)-BF20</f>
        <v>1.6024568619082715</v>
      </c>
      <c r="BG21" s="70">
        <f>(BG14/101.94*(11/((BG6/56.08)+(BG7/79.9*2)+(BG10/71.85)+(BG9/70.94)+(BG8/152.02*3)+(BG13/60.09*2)+(BG14/101.94*3)+(BG15/40.32)+(BG11/74.71)+(BG5/94.2)+(BG12/61.982)))*2)-BG20</f>
        <v>1.6180643317327417</v>
      </c>
      <c r="BH21" s="70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</row>
    <row r="22" spans="1:74" s="50" customFormat="1">
      <c r="A22" s="5" t="s">
        <v>352</v>
      </c>
      <c r="B22" s="70">
        <f t="shared" ref="B22:Q22" si="20">B7/79.9*(11/((B6/56.08)+(B7/79.9*2)+(B10/71.85)+(B9/70.94)+(B8/152.02*3)+(B13/60.09*2)+(B14/101.94*3)+(B15/40.32)+(B11/74.71)+(B5/94.2)+(B12/61.982)))</f>
        <v>1.6107384479438377E-2</v>
      </c>
      <c r="C22" s="70">
        <f t="shared" si="20"/>
        <v>1.1223752145384021E-2</v>
      </c>
      <c r="D22" s="70">
        <f t="shared" si="20"/>
        <v>2.5571719084183906E-2</v>
      </c>
      <c r="E22" s="70">
        <f t="shared" si="20"/>
        <v>2.5250550297543022E-2</v>
      </c>
      <c r="F22" s="70">
        <f t="shared" si="20"/>
        <v>1.4613101585987947E-2</v>
      </c>
      <c r="G22" s="70">
        <f t="shared" si="20"/>
        <v>1.9857426447657225E-2</v>
      </c>
      <c r="H22" s="70">
        <f t="shared" si="20"/>
        <v>1.8303216326285957E-2</v>
      </c>
      <c r="I22" s="70">
        <f t="shared" si="20"/>
        <v>2.2687081873417444E-2</v>
      </c>
      <c r="J22" s="70">
        <f t="shared" si="20"/>
        <v>1.0587283245373324E-2</v>
      </c>
      <c r="K22" s="70">
        <f t="shared" si="20"/>
        <v>1.3885233974615377E-2</v>
      </c>
      <c r="L22" s="70">
        <f t="shared" si="20"/>
        <v>1.7483979786129963E-2</v>
      </c>
      <c r="M22" s="70">
        <f t="shared" si="20"/>
        <v>3.4538111503524205E-2</v>
      </c>
      <c r="N22" s="70">
        <f t="shared" si="20"/>
        <v>2.3566309322824313E-2</v>
      </c>
      <c r="O22" s="70">
        <f t="shared" si="20"/>
        <v>2.8519432642798239E-2</v>
      </c>
      <c r="P22" s="70">
        <f t="shared" si="20"/>
        <v>2.5297259659287218E-2</v>
      </c>
      <c r="Q22" s="70">
        <f t="shared" si="20"/>
        <v>3.4470683592602677E-2</v>
      </c>
      <c r="R22" s="70">
        <f t="shared" ref="R22:AB22" si="21">R7/79.9*(11/((R6/56.08)+(R7/79.9*2)+(R10/71.85)+(R9/70.94)+(R8/152.02*3)+(R13/60.09*2)+(R14/101.94*3)+(R15/40.32)+(R11/74.71)+(R5/94.2)+(R12/61.982)))</f>
        <v>3.1320471900915012E-2</v>
      </c>
      <c r="S22" s="70">
        <f t="shared" si="21"/>
        <v>3.376886314516802E-2</v>
      </c>
      <c r="T22" s="70">
        <f t="shared" si="21"/>
        <v>2.5412599478544393E-2</v>
      </c>
      <c r="U22" s="70">
        <f t="shared" si="21"/>
        <v>1.9812541372152302E-2</v>
      </c>
      <c r="V22" s="70">
        <f t="shared" si="21"/>
        <v>2.4043387053444939E-2</v>
      </c>
      <c r="W22" s="70">
        <f t="shared" si="21"/>
        <v>3.0729548674704545E-2</v>
      </c>
      <c r="X22" s="70">
        <f t="shared" si="21"/>
        <v>4.0521546855059272E-2</v>
      </c>
      <c r="Y22" s="70">
        <f t="shared" si="21"/>
        <v>3.871840999950503E-2</v>
      </c>
      <c r="Z22" s="70">
        <f t="shared" si="21"/>
        <v>3.0630277126711344E-2</v>
      </c>
      <c r="AA22" s="70">
        <f t="shared" si="21"/>
        <v>3.5830163441516807E-2</v>
      </c>
      <c r="AB22" s="70">
        <f t="shared" si="21"/>
        <v>3.1936835224094892E-2</v>
      </c>
      <c r="AC22" s="70"/>
      <c r="AD22" s="70">
        <f t="shared" ref="AD22:AS22" si="22">AD7/79.9*(11/((AD6/56.08)+(AD7/79.9*2)+(AD10/71.85)+(AD9/70.94)+(AD8/152.02*3)+(AD13/60.09*2)+(AD14/101.94*3)+(AD15/40.32)+(AD11/74.71)+(AD5/94.2)+(AD12/61.982)))</f>
        <v>2.6667712598481302E-2</v>
      </c>
      <c r="AE22" s="70">
        <f t="shared" si="22"/>
        <v>2.1709964666588318E-2</v>
      </c>
      <c r="AF22" s="70">
        <f t="shared" si="22"/>
        <v>2.2221460860745015E-2</v>
      </c>
      <c r="AG22" s="70">
        <f t="shared" si="22"/>
        <v>1.4991033939080882E-2</v>
      </c>
      <c r="AH22" s="70">
        <f t="shared" si="22"/>
        <v>2.010504682730781E-2</v>
      </c>
      <c r="AI22" s="70">
        <f t="shared" si="22"/>
        <v>1.6569391571744779E-2</v>
      </c>
      <c r="AJ22" s="70">
        <f t="shared" si="22"/>
        <v>2.3727966392578178E-2</v>
      </c>
      <c r="AK22" s="70">
        <f t="shared" si="22"/>
        <v>2.1253624811658132E-2</v>
      </c>
      <c r="AL22" s="70">
        <f t="shared" si="22"/>
        <v>1.9693297101988822E-2</v>
      </c>
      <c r="AM22" s="70">
        <f t="shared" si="22"/>
        <v>2.6195201830180492E-2</v>
      </c>
      <c r="AN22" s="70">
        <f t="shared" si="22"/>
        <v>2.1124498926615581E-2</v>
      </c>
      <c r="AO22" s="70">
        <f t="shared" si="22"/>
        <v>2.026801460812995E-2</v>
      </c>
      <c r="AP22" s="70">
        <f t="shared" si="22"/>
        <v>2.5765539084280281E-2</v>
      </c>
      <c r="AQ22" s="70">
        <f t="shared" si="22"/>
        <v>2.4160982674720537E-2</v>
      </c>
      <c r="AR22" s="70">
        <f t="shared" si="22"/>
        <v>2.6219650213408375E-2</v>
      </c>
      <c r="AS22" s="70">
        <f t="shared" si="22"/>
        <v>2.0658953353019753E-2</v>
      </c>
      <c r="AT22" s="70">
        <f t="shared" ref="AT22:BC22" si="23">AT7/79.9*(11/((AT6/56.08)+(AT7/79.9*2)+(AT10/71.85)+(AT9/70.94)+(AT8/152.02*3)+(AT13/60.09*2)+(AT14/101.94*3)+(AT15/40.32)+(AT11/74.71)+(AT5/94.2)+(AT12/61.982)))</f>
        <v>2.1839443817033358E-2</v>
      </c>
      <c r="AU22" s="70">
        <f t="shared" si="23"/>
        <v>2.6149708134652949E-2</v>
      </c>
      <c r="AV22" s="70">
        <f t="shared" si="23"/>
        <v>1.9735057457827766E-2</v>
      </c>
      <c r="AW22" s="70">
        <f t="shared" si="23"/>
        <v>1.8093108356058062E-2</v>
      </c>
      <c r="AX22" s="70">
        <f t="shared" si="23"/>
        <v>1.9309393269484752E-2</v>
      </c>
      <c r="AY22" s="70">
        <f t="shared" si="23"/>
        <v>2.0498346366592878E-2</v>
      </c>
      <c r="AZ22" s="70">
        <f t="shared" si="23"/>
        <v>1.7670461091521952E-2</v>
      </c>
      <c r="BA22" s="70">
        <f t="shared" si="23"/>
        <v>2.3630855257222024E-2</v>
      </c>
      <c r="BB22" s="70">
        <f t="shared" si="23"/>
        <v>2.4249812420608564E-2</v>
      </c>
      <c r="BC22" s="70">
        <f t="shared" si="23"/>
        <v>1.9932302787843872E-2</v>
      </c>
      <c r="BD22" s="85"/>
      <c r="BE22" s="70">
        <f>BE7/79.9*(11/((BE6/56.08)+(BE7/79.9*2)+(BE10/71.85)+(BE9/70.94)+(BE8/152.02*3)+(BE13/60.09*2)+(BE14/101.94*3)+(BE15/40.32)+(BE11/74.71)+(BE5/94.2)+(BE12/61.982)))</f>
        <v>1.3818858771121838E-2</v>
      </c>
      <c r="BF22" s="70">
        <f>BF7/79.9*(11/((BF6/56.08)+(BF7/79.9*2)+(BF10/71.85)+(BF9/70.94)+(BF8/152.02*3)+(BF13/60.09*2)+(BF14/101.94*3)+(BF15/40.32)+(BF11/74.71)+(BF5/94.2)+(BF12/61.982)))</f>
        <v>1.5381574393603966E-2</v>
      </c>
      <c r="BG22" s="70">
        <f>BG7/79.9*(11/((BG6/56.08)+(BG7/79.9*2)+(BG10/71.85)+(BG9/70.94)+(BG8/152.02*3)+(BG13/60.09*2)+(BG14/101.94*3)+(BG15/40.32)+(BG11/74.71)+(BG5/94.2)+(BG12/61.982)))</f>
        <v>1.972737431171695E-2</v>
      </c>
      <c r="BH22" s="70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</row>
    <row r="23" spans="1:74" s="50" customFormat="1">
      <c r="A23" s="5" t="s">
        <v>353</v>
      </c>
      <c r="B23" s="70">
        <f t="shared" ref="B23:Q23" si="24">B8/152.02*(11/((B6/56.08)+(B7/79.9*2)+(B10/71.85)+(B9/70.94)+(B8/152.02*3)+(B13/60.09*2)+(B14/101.94*3)+(B15/40.32)+(B11/74.71)+(B5/94.2)+(B12/61.982)))*2</f>
        <v>0</v>
      </c>
      <c r="C23" s="70">
        <f t="shared" si="24"/>
        <v>0</v>
      </c>
      <c r="D23" s="70">
        <f t="shared" si="24"/>
        <v>0</v>
      </c>
      <c r="E23" s="70">
        <f t="shared" si="24"/>
        <v>0</v>
      </c>
      <c r="F23" s="70">
        <f t="shared" si="24"/>
        <v>5.1203210837189716E-3</v>
      </c>
      <c r="G23" s="70">
        <f t="shared" si="24"/>
        <v>6.1093695880881363E-3</v>
      </c>
      <c r="H23" s="70">
        <f t="shared" si="24"/>
        <v>0</v>
      </c>
      <c r="I23" s="70">
        <f t="shared" si="24"/>
        <v>4.5666669209746998E-3</v>
      </c>
      <c r="J23" s="70">
        <f t="shared" si="24"/>
        <v>4.5528192353565663E-3</v>
      </c>
      <c r="K23" s="70">
        <f t="shared" si="24"/>
        <v>4.5297450658243329E-3</v>
      </c>
      <c r="L23" s="70">
        <f t="shared" si="24"/>
        <v>6.1262552511151345E-3</v>
      </c>
      <c r="M23" s="70">
        <f t="shared" si="24"/>
        <v>0</v>
      </c>
      <c r="N23" s="70">
        <f t="shared" si="24"/>
        <v>0</v>
      </c>
      <c r="O23" s="70">
        <f t="shared" si="24"/>
        <v>0</v>
      </c>
      <c r="P23" s="70">
        <f t="shared" si="24"/>
        <v>4.3415362571026881E-3</v>
      </c>
      <c r="Q23" s="70">
        <f t="shared" si="24"/>
        <v>4.2629183761408382E-3</v>
      </c>
      <c r="R23" s="70">
        <f t="shared" ref="R23:AB23" si="25">R8/152.02*(11/((R6/56.08)+(R7/79.9*2)+(R10/71.85)+(R9/70.94)+(R8/152.02*3)+(R13/60.09*2)+(R14/101.94*3)+(R15/40.32)+(R11/74.71)+(R5/94.2)+(R12/61.982)))*2</f>
        <v>1.4032913772553836E-2</v>
      </c>
      <c r="S23" s="70">
        <f t="shared" si="25"/>
        <v>4.8405093204822178E-3</v>
      </c>
      <c r="T23" s="70">
        <f t="shared" si="25"/>
        <v>2.5110363063222667E-2</v>
      </c>
      <c r="U23" s="70">
        <f t="shared" si="25"/>
        <v>3.6846879742143519E-2</v>
      </c>
      <c r="V23" s="70">
        <f t="shared" si="25"/>
        <v>4.0330638722723723E-2</v>
      </c>
      <c r="W23" s="70">
        <f t="shared" si="25"/>
        <v>5.1273348308574537E-4</v>
      </c>
      <c r="X23" s="70">
        <f t="shared" si="25"/>
        <v>2.0778213352666921E-3</v>
      </c>
      <c r="Y23" s="70">
        <f t="shared" si="25"/>
        <v>0</v>
      </c>
      <c r="Z23" s="70">
        <f t="shared" si="25"/>
        <v>2.5966014047644793E-3</v>
      </c>
      <c r="AA23" s="70">
        <f t="shared" si="25"/>
        <v>0</v>
      </c>
      <c r="AB23" s="70">
        <f t="shared" si="25"/>
        <v>4.2630199191086918E-3</v>
      </c>
      <c r="AC23" s="70"/>
      <c r="AD23" s="70">
        <f t="shared" ref="AD23:AS23" si="26">AD8/152.02*(11/((AD6/56.08)+(AD7/79.9*2)+(AD10/71.85)+(AD9/70.94)+(AD8/152.02*3)+(AD13/60.09*2)+(AD14/101.94*3)+(AD15/40.32)+(AD11/74.71)+(AD5/94.2)+(AD12/61.982)))*2</f>
        <v>1.0193635940814753E-3</v>
      </c>
      <c r="AE23" s="70">
        <f t="shared" si="26"/>
        <v>2.028535633452214E-3</v>
      </c>
      <c r="AF23" s="70">
        <f t="shared" si="26"/>
        <v>1.5233934231538699E-3</v>
      </c>
      <c r="AG23" s="70">
        <f t="shared" si="26"/>
        <v>6.6082930312748797E-3</v>
      </c>
      <c r="AH23" s="70">
        <f t="shared" si="26"/>
        <v>7.044657463938492E-3</v>
      </c>
      <c r="AI23" s="70">
        <f t="shared" si="26"/>
        <v>0</v>
      </c>
      <c r="AJ23" s="70">
        <f t="shared" si="26"/>
        <v>0</v>
      </c>
      <c r="AK23" s="70">
        <f t="shared" si="26"/>
        <v>0</v>
      </c>
      <c r="AL23" s="70">
        <f t="shared" si="26"/>
        <v>4.7771885433563607E-3</v>
      </c>
      <c r="AM23" s="70">
        <f t="shared" si="26"/>
        <v>3.7067431369404713E-3</v>
      </c>
      <c r="AN23" s="70">
        <f t="shared" si="26"/>
        <v>0</v>
      </c>
      <c r="AO23" s="70">
        <f t="shared" si="26"/>
        <v>5.3263201131087444E-4</v>
      </c>
      <c r="AP23" s="70">
        <f t="shared" si="26"/>
        <v>4.2484948014249813E-3</v>
      </c>
      <c r="AQ23" s="70">
        <f t="shared" si="26"/>
        <v>5.8202560169747066E-3</v>
      </c>
      <c r="AR23" s="70">
        <f t="shared" si="26"/>
        <v>1.1130608091313368E-2</v>
      </c>
      <c r="AS23" s="70">
        <f t="shared" si="26"/>
        <v>2.6483202994892815E-3</v>
      </c>
      <c r="AT23" s="70">
        <f t="shared" ref="AT23:BC23" si="27">AT8/152.02*(11/((AT6/56.08)+(AT7/79.9*2)+(AT10/71.85)+(AT9/70.94)+(AT8/152.02*3)+(AT13/60.09*2)+(AT14/101.94*3)+(AT15/40.32)+(AT11/74.71)+(AT5/94.2)+(AT12/61.982)))*2</f>
        <v>4.8049809996936407E-3</v>
      </c>
      <c r="AU23" s="70">
        <f t="shared" si="27"/>
        <v>1.0572301620023531E-3</v>
      </c>
      <c r="AV23" s="70">
        <f t="shared" si="27"/>
        <v>0</v>
      </c>
      <c r="AW23" s="70">
        <f t="shared" si="27"/>
        <v>4.2264595525414467E-3</v>
      </c>
      <c r="AX23" s="70">
        <f t="shared" si="27"/>
        <v>1.0409025278265219E-3</v>
      </c>
      <c r="AY23" s="70">
        <f t="shared" si="27"/>
        <v>4.6173000019474062E-3</v>
      </c>
      <c r="AZ23" s="70">
        <f t="shared" si="27"/>
        <v>0</v>
      </c>
      <c r="BA23" s="70">
        <f t="shared" si="27"/>
        <v>2.9808267360379526E-3</v>
      </c>
      <c r="BB23" s="70">
        <f t="shared" si="27"/>
        <v>3.5687199281269231E-3</v>
      </c>
      <c r="BC23" s="70">
        <f t="shared" si="27"/>
        <v>3.5772369326375797E-3</v>
      </c>
      <c r="BD23" s="85"/>
      <c r="BE23" s="70">
        <f>BE8/152.02*(11/((BE6/56.08)+(BE7/79.9*2)+(BE10/71.85)+(BE9/70.94)+(BE8/152.02*3)+(BE13/60.09*2)+(BE14/101.94*3)+(BE15/40.32)+(BE11/74.71)+(BE5/94.2)+(BE12/61.982)))*2</f>
        <v>2.6900135357741301E-3</v>
      </c>
      <c r="BF23" s="70">
        <f>BF8/152.02*(11/((BF6/56.08)+(BF7/79.9*2)+(BF10/71.85)+(BF9/70.94)+(BF8/152.02*3)+(BF13/60.09*2)+(BF14/101.94*3)+(BF15/40.32)+(BF11/74.71)+(BF5/94.2)+(BF12/61.982)))*2</f>
        <v>5.9285470045776986E-3</v>
      </c>
      <c r="BG23" s="70">
        <f>BG8/152.02*(11/((BG6/56.08)+(BG7/79.9*2)+(BG10/71.85)+(BG9/70.94)+(BG8/152.02*3)+(BG13/60.09*2)+(BG14/101.94*3)+(BG15/40.32)+(BG11/74.71)+(BG5/94.2)+(BG12/61.982)))*2</f>
        <v>1.0914195552567073E-3</v>
      </c>
      <c r="BH23" s="70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</row>
    <row r="24" spans="1:74" s="50" customFormat="1">
      <c r="A24" s="5" t="s">
        <v>354</v>
      </c>
      <c r="B24" s="70">
        <f t="shared" ref="B24:Q24" si="28">B9/70.94*(11/((B6/56.08)+(B7/79.9*2)+(B10/71.85)+(B9/70.94)+(B8/152.02*3)+(B13/60.09*2)+(B14/101.94*3)+(B15/40.32)+(B11/74.71)+(B5/94.2)+(B12/61.982)))</f>
        <v>5.6693157065263186E-3</v>
      </c>
      <c r="C24" s="70">
        <f t="shared" si="28"/>
        <v>4.0222496443302171E-3</v>
      </c>
      <c r="D24" s="70">
        <f t="shared" si="28"/>
        <v>3.9531508216786512E-3</v>
      </c>
      <c r="E24" s="70">
        <f t="shared" si="28"/>
        <v>2.2751835001676769E-3</v>
      </c>
      <c r="F24" s="70">
        <f t="shared" si="28"/>
        <v>5.4862645273960956E-4</v>
      </c>
      <c r="G24" s="70">
        <f t="shared" si="28"/>
        <v>0</v>
      </c>
      <c r="H24" s="70">
        <f t="shared" si="28"/>
        <v>1.6274987585545768E-3</v>
      </c>
      <c r="I24" s="70">
        <f t="shared" si="28"/>
        <v>2.174685040023099E-3</v>
      </c>
      <c r="J24" s="70">
        <f t="shared" si="28"/>
        <v>0</v>
      </c>
      <c r="K24" s="70">
        <f t="shared" si="28"/>
        <v>2.6963781791600693E-3</v>
      </c>
      <c r="L24" s="70">
        <f t="shared" si="28"/>
        <v>1.6410229124515837E-3</v>
      </c>
      <c r="M24" s="70">
        <f t="shared" si="28"/>
        <v>0</v>
      </c>
      <c r="N24" s="70">
        <f t="shared" si="28"/>
        <v>0</v>
      </c>
      <c r="O24" s="70">
        <f t="shared" si="28"/>
        <v>2.2943963391191544E-3</v>
      </c>
      <c r="P24" s="70">
        <f t="shared" si="28"/>
        <v>1.7444328177106112E-3</v>
      </c>
      <c r="Q24" s="70">
        <f t="shared" si="28"/>
        <v>0</v>
      </c>
      <c r="R24" s="70">
        <f t="shared" ref="R24:AB24" si="29">R9/70.94*(11/((R6/56.08)+(R7/79.9*2)+(R10/71.85)+(R9/70.94)+(R8/152.02*3)+(R13/60.09*2)+(R14/101.94*3)+(R15/40.32)+(R11/74.71)+(R5/94.2)+(R12/61.982)))</f>
        <v>0</v>
      </c>
      <c r="S24" s="70">
        <f t="shared" si="29"/>
        <v>0</v>
      </c>
      <c r="T24" s="70">
        <f t="shared" si="29"/>
        <v>0</v>
      </c>
      <c r="U24" s="70">
        <f t="shared" si="29"/>
        <v>0</v>
      </c>
      <c r="V24" s="70">
        <f t="shared" si="29"/>
        <v>1.728520918699876E-3</v>
      </c>
      <c r="W24" s="70">
        <f t="shared" si="29"/>
        <v>1.6481338616865313E-3</v>
      </c>
      <c r="X24" s="70">
        <f t="shared" si="29"/>
        <v>0</v>
      </c>
      <c r="Y24" s="70">
        <f t="shared" si="29"/>
        <v>1.6772575735510247E-3</v>
      </c>
      <c r="Z24" s="70">
        <f t="shared" si="29"/>
        <v>0</v>
      </c>
      <c r="AA24" s="70">
        <f t="shared" si="29"/>
        <v>6.2522843443872681E-3</v>
      </c>
      <c r="AB24" s="70">
        <f t="shared" si="29"/>
        <v>3.9967314074572918E-3</v>
      </c>
      <c r="AC24" s="70"/>
      <c r="AD24" s="70">
        <f t="shared" ref="AD24:AS24" si="30">AD9/70.94*(11/((AD6/56.08)+(AD7/79.9*2)+(AD10/71.85)+(AD9/70.94)+(AD8/152.02*3)+(AD13/60.09*2)+(AD14/101.94*3)+(AD15/40.32)+(AD11/74.71)+(AD5/94.2)+(AD12/61.982)))</f>
        <v>0</v>
      </c>
      <c r="AE24" s="70">
        <f t="shared" si="30"/>
        <v>3.3146069225475298E-2</v>
      </c>
      <c r="AF24" s="70">
        <f t="shared" si="30"/>
        <v>5.4408953150044954E-4</v>
      </c>
      <c r="AG24" s="70">
        <f t="shared" si="30"/>
        <v>0</v>
      </c>
      <c r="AH24" s="70">
        <f t="shared" si="30"/>
        <v>1.6174566449533752E-3</v>
      </c>
      <c r="AI24" s="70">
        <f t="shared" si="30"/>
        <v>0</v>
      </c>
      <c r="AJ24" s="70">
        <f t="shared" si="30"/>
        <v>6.2547641886271784E-3</v>
      </c>
      <c r="AK24" s="70">
        <f t="shared" si="30"/>
        <v>2.2267945036440685E-3</v>
      </c>
      <c r="AL24" s="70">
        <f t="shared" si="30"/>
        <v>0</v>
      </c>
      <c r="AM24" s="70">
        <f t="shared" si="30"/>
        <v>1.1347599413542438E-3</v>
      </c>
      <c r="AN24" s="70">
        <f t="shared" si="30"/>
        <v>5.6649061723407603E-4</v>
      </c>
      <c r="AO24" s="70">
        <f t="shared" si="30"/>
        <v>0</v>
      </c>
      <c r="AP24" s="70">
        <f t="shared" si="30"/>
        <v>3.9831135977484323E-3</v>
      </c>
      <c r="AQ24" s="70">
        <f t="shared" si="30"/>
        <v>3.9685055475199692E-3</v>
      </c>
      <c r="AR24" s="70">
        <f t="shared" si="30"/>
        <v>1.7037285452912504E-3</v>
      </c>
      <c r="AS24" s="70">
        <f t="shared" si="30"/>
        <v>2.8375926975497652E-3</v>
      </c>
      <c r="AT24" s="70">
        <f t="shared" ref="AT24:BC24" si="31">AT9/70.94*(11/((AT6/56.08)+(AT7/79.9*2)+(AT10/71.85)+(AT9/70.94)+(AT8/152.02*3)+(AT13/60.09*2)+(AT14/101.94*3)+(AT15/40.32)+(AT11/74.71)+(AT5/94.2)+(AT12/61.982)))</f>
        <v>5.7204305013111817E-4</v>
      </c>
      <c r="AU24" s="70">
        <f t="shared" si="31"/>
        <v>5.0975513217098242E-3</v>
      </c>
      <c r="AV24" s="70">
        <f t="shared" si="31"/>
        <v>0</v>
      </c>
      <c r="AW24" s="70">
        <f t="shared" si="31"/>
        <v>1.6981949037320732E-3</v>
      </c>
      <c r="AX24" s="70">
        <f t="shared" si="31"/>
        <v>0</v>
      </c>
      <c r="AY24" s="70">
        <f t="shared" si="31"/>
        <v>1.0993984686527656E-3</v>
      </c>
      <c r="AZ24" s="70">
        <f t="shared" si="31"/>
        <v>0</v>
      </c>
      <c r="BA24" s="70">
        <f t="shared" si="31"/>
        <v>1.5969314928548405E-3</v>
      </c>
      <c r="BB24" s="70">
        <f t="shared" si="31"/>
        <v>2.7312658759608465E-3</v>
      </c>
      <c r="BC24" s="70">
        <f t="shared" si="31"/>
        <v>1.6426705420060157E-3</v>
      </c>
      <c r="BD24" s="85"/>
      <c r="BE24" s="70">
        <f>BE9/70.94*(11/((BE6/56.08)+(BE7/79.9*2)+(BE10/71.85)+(BE9/70.94)+(BE8/152.02*3)+(BE13/60.09*2)+(BE14/101.94*3)+(BE15/40.32)+(BE11/74.71)+(BE5/94.2)+(BE12/61.982)))</f>
        <v>0</v>
      </c>
      <c r="BF24" s="70">
        <f>BF9/70.94*(11/((BF6/56.08)+(BF7/79.9*2)+(BF10/71.85)+(BF9/70.94)+(BF8/152.02*3)+(BF13/60.09*2)+(BF14/101.94*3)+(BF15/40.32)+(BF11/74.71)+(BF5/94.2)+(BF12/61.982)))</f>
        <v>1.3281984429624102E-2</v>
      </c>
      <c r="BG24" s="70">
        <f>BG9/70.94*(11/((BG6/56.08)+(BG7/79.9*2)+(BG10/71.85)+(BG9/70.94)+(BG8/152.02*3)+(BG13/60.09*2)+(BG14/101.94*3)+(BG15/40.32)+(BG11/74.71)+(BG5/94.2)+(BG12/61.982)))</f>
        <v>2.9235551309226933E-3</v>
      </c>
      <c r="BH24" s="70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</row>
    <row r="25" spans="1:74" s="50" customFormat="1">
      <c r="A25" s="5" t="s">
        <v>355</v>
      </c>
      <c r="B25" s="70">
        <f t="shared" ref="B25:Q25" si="32">B11/74.71*(11/((B6/56.08)+(B7/79.9*2)+(B10/71.85)+(B9/70.94)+(B8/152.02*3)+(B13/60.09*2)+(B14/101.94*3)+(B15/40.32)+(B11/74.71)+(B5/94.2)+(B12/61.982)))</f>
        <v>0</v>
      </c>
      <c r="C25" s="70">
        <f t="shared" si="32"/>
        <v>0</v>
      </c>
      <c r="D25" s="70">
        <f t="shared" si="32"/>
        <v>0</v>
      </c>
      <c r="E25" s="70">
        <f t="shared" si="32"/>
        <v>0</v>
      </c>
      <c r="F25" s="70">
        <f t="shared" si="32"/>
        <v>0</v>
      </c>
      <c r="G25" s="70">
        <f t="shared" si="32"/>
        <v>0</v>
      </c>
      <c r="H25" s="70">
        <f t="shared" si="32"/>
        <v>0</v>
      </c>
      <c r="I25" s="70">
        <f t="shared" si="32"/>
        <v>0</v>
      </c>
      <c r="J25" s="70">
        <f t="shared" si="32"/>
        <v>0</v>
      </c>
      <c r="K25" s="70">
        <f t="shared" si="32"/>
        <v>0</v>
      </c>
      <c r="L25" s="70">
        <f t="shared" si="32"/>
        <v>0</v>
      </c>
      <c r="M25" s="70">
        <f t="shared" si="32"/>
        <v>0</v>
      </c>
      <c r="N25" s="70">
        <f t="shared" si="32"/>
        <v>0</v>
      </c>
      <c r="O25" s="70">
        <f t="shared" si="32"/>
        <v>0</v>
      </c>
      <c r="P25" s="70">
        <f t="shared" si="32"/>
        <v>3.8649464534811734E-3</v>
      </c>
      <c r="Q25" s="70">
        <f t="shared" si="32"/>
        <v>0</v>
      </c>
      <c r="R25" s="70">
        <f t="shared" ref="R25:AB25" si="33">R11/74.71*(11/((R6/56.08)+(R7/79.9*2)+(R10/71.85)+(R9/70.94)+(R8/152.02*3)+(R13/60.09*2)+(R14/101.94*3)+(R15/40.32)+(R11/74.71)+(R5/94.2)+(R12/61.982)))</f>
        <v>0</v>
      </c>
      <c r="S25" s="70">
        <f t="shared" si="33"/>
        <v>4.9247371630284217E-3</v>
      </c>
      <c r="T25" s="70">
        <f t="shared" si="33"/>
        <v>1.630678649446417E-3</v>
      </c>
      <c r="U25" s="70">
        <f t="shared" si="33"/>
        <v>3.8031343037333363E-3</v>
      </c>
      <c r="V25" s="70">
        <f t="shared" si="33"/>
        <v>0</v>
      </c>
      <c r="W25" s="70">
        <f t="shared" si="33"/>
        <v>4.1732428911093579E-3</v>
      </c>
      <c r="X25" s="70">
        <f t="shared" si="33"/>
        <v>0</v>
      </c>
      <c r="Y25" s="70">
        <f t="shared" si="33"/>
        <v>0</v>
      </c>
      <c r="Z25" s="70">
        <f t="shared" si="33"/>
        <v>0</v>
      </c>
      <c r="AA25" s="70">
        <f t="shared" si="33"/>
        <v>4.3176602999801198E-3</v>
      </c>
      <c r="AB25" s="70">
        <f t="shared" si="33"/>
        <v>1.6264496589384874E-3</v>
      </c>
      <c r="AC25" s="70"/>
      <c r="AD25" s="70">
        <f t="shared" ref="AD25:AS25" si="34">AD11/74.71*(11/((AD6/56.08)+(AD7/79.9*2)+(AD10/71.85)+(AD9/70.94)+(AD8/152.02*3)+(AD13/60.09*2)+(AD14/101.94*3)+(AD15/40.32)+(AD11/74.71)+(AD5/94.2)+(AD12/61.982)))</f>
        <v>0</v>
      </c>
      <c r="AE25" s="70">
        <f t="shared" si="34"/>
        <v>0</v>
      </c>
      <c r="AF25" s="70">
        <f t="shared" si="34"/>
        <v>0</v>
      </c>
      <c r="AG25" s="70">
        <f t="shared" si="34"/>
        <v>0</v>
      </c>
      <c r="AH25" s="70">
        <f t="shared" si="34"/>
        <v>0</v>
      </c>
      <c r="AI25" s="70">
        <f t="shared" si="34"/>
        <v>0</v>
      </c>
      <c r="AJ25" s="70">
        <f t="shared" si="34"/>
        <v>0</v>
      </c>
      <c r="AK25" s="70">
        <f t="shared" si="34"/>
        <v>0</v>
      </c>
      <c r="AL25" s="70">
        <f t="shared" si="34"/>
        <v>5.4003495171034226E-4</v>
      </c>
      <c r="AM25" s="70">
        <f t="shared" si="34"/>
        <v>0</v>
      </c>
      <c r="AN25" s="70">
        <f t="shared" si="34"/>
        <v>3.2274269350757883E-3</v>
      </c>
      <c r="AO25" s="70">
        <f t="shared" si="34"/>
        <v>0</v>
      </c>
      <c r="AP25" s="70">
        <f t="shared" si="34"/>
        <v>5.4030265335348838E-4</v>
      </c>
      <c r="AQ25" s="70">
        <f t="shared" si="34"/>
        <v>0</v>
      </c>
      <c r="AR25" s="70">
        <f t="shared" si="34"/>
        <v>1.6177553607677861E-3</v>
      </c>
      <c r="AS25" s="70">
        <f t="shared" si="34"/>
        <v>0</v>
      </c>
      <c r="AT25" s="70">
        <f t="shared" ref="AT25:BC25" si="35">AT11/74.71*(11/((AT6/56.08)+(AT7/79.9*2)+(AT10/71.85)+(AT9/70.94)+(AT8/152.02*3)+(AT13/60.09*2)+(AT14/101.94*3)+(AT15/40.32)+(AT11/74.71)+(AT5/94.2)+(AT12/61.982)))</f>
        <v>2.1727069455923717E-3</v>
      </c>
      <c r="AU25" s="70">
        <f t="shared" si="35"/>
        <v>0</v>
      </c>
      <c r="AV25" s="70">
        <f t="shared" si="35"/>
        <v>1.6235403466536645E-3</v>
      </c>
      <c r="AW25" s="70">
        <f t="shared" si="35"/>
        <v>2.1500012755231927E-3</v>
      </c>
      <c r="AX25" s="70">
        <f t="shared" si="35"/>
        <v>0</v>
      </c>
      <c r="AY25" s="70">
        <f t="shared" si="35"/>
        <v>0</v>
      </c>
      <c r="AZ25" s="70">
        <f t="shared" si="35"/>
        <v>0</v>
      </c>
      <c r="BA25" s="70">
        <f t="shared" si="35"/>
        <v>0</v>
      </c>
      <c r="BB25" s="70">
        <f t="shared" si="35"/>
        <v>0</v>
      </c>
      <c r="BC25" s="70">
        <f t="shared" si="35"/>
        <v>0</v>
      </c>
      <c r="BD25" s="85"/>
      <c r="BE25" s="70">
        <f>BE11/74.71*(11/((BE6/56.08)+(BE7/79.9*2)+(BE10/71.85)+(BE9/70.94)+(BE8/152.02*3)+(BE13/60.09*2)+(BE14/101.94*3)+(BE15/40.32)+(BE11/74.71)+(BE5/94.2)+(BE12/61.982)))</f>
        <v>3.2841857130910183E-3</v>
      </c>
      <c r="BF25" s="70">
        <f>BF11/74.71*(11/((BF6/56.08)+(BF7/79.9*2)+(BF10/71.85)+(BF9/70.94)+(BF8/152.02*3)+(BF13/60.09*2)+(BF14/101.94*3)+(BF15/40.32)+(BF11/74.71)+(BF5/94.2)+(BF12/61.982)))</f>
        <v>2.1933481355444736E-3</v>
      </c>
      <c r="BG25" s="70">
        <f>BG11/74.71*(11/((BG6/56.08)+(BG7/79.9*2)+(BG10/71.85)+(BG9/70.94)+(BG8/152.02*3)+(BG13/60.09*2)+(BG14/101.94*3)+(BG15/40.32)+(BG11/74.71)+(BG5/94.2)+(BG12/61.982)))</f>
        <v>0</v>
      </c>
      <c r="BH25" s="70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</row>
    <row r="26" spans="1:74" s="50" customFormat="1">
      <c r="A26" s="14" t="s">
        <v>356</v>
      </c>
      <c r="B26" s="70">
        <f t="shared" ref="B26:Q26" si="36">B10/71.85*(11/((B6/56.08)+(B7/79.9*2)+(B10/71.85)+(B9/70.94)+(B8/152.02*3)+(B13/60.09*2)+(B14/101.94*3)+(B15/40.32)+(B11/74.71)+(B5/94.2)+(B12/61.982)))</f>
        <v>8.228343029155688E-2</v>
      </c>
      <c r="C26" s="70">
        <f t="shared" si="36"/>
        <v>8.5666759827192809E-2</v>
      </c>
      <c r="D26" s="70">
        <f t="shared" si="36"/>
        <v>9.8134660294302622E-2</v>
      </c>
      <c r="E26" s="70">
        <f t="shared" si="36"/>
        <v>7.9746052488758143E-2</v>
      </c>
      <c r="F26" s="70">
        <f t="shared" si="36"/>
        <v>9.371028498846469E-2</v>
      </c>
      <c r="G26" s="70">
        <f t="shared" si="36"/>
        <v>6.6785287191407819E-2</v>
      </c>
      <c r="H26" s="70">
        <f t="shared" si="36"/>
        <v>6.1061669497713904E-2</v>
      </c>
      <c r="I26" s="70">
        <f t="shared" si="36"/>
        <v>9.447425047357691E-2</v>
      </c>
      <c r="J26" s="70">
        <f t="shared" si="36"/>
        <v>8.2414300892655543E-2</v>
      </c>
      <c r="K26" s="70">
        <f t="shared" si="36"/>
        <v>7.6139715318677775E-2</v>
      </c>
      <c r="L26" s="70">
        <f t="shared" si="36"/>
        <v>7.1830591507487565E-2</v>
      </c>
      <c r="M26" s="70">
        <f t="shared" si="36"/>
        <v>0.11980917496203765</v>
      </c>
      <c r="N26" s="70">
        <f t="shared" si="36"/>
        <v>0.10254777788292617</v>
      </c>
      <c r="O26" s="70">
        <f t="shared" si="36"/>
        <v>0.1172311990031397</v>
      </c>
      <c r="P26" s="70">
        <f t="shared" si="36"/>
        <v>0.11711905856660504</v>
      </c>
      <c r="Q26" s="70">
        <f t="shared" si="36"/>
        <v>0.12007168178341872</v>
      </c>
      <c r="R26" s="70">
        <f t="shared" ref="R26:AB26" si="37">R10/71.85*(11/((R6/56.08)+(R7/79.9*2)+(R10/71.85)+(R9/70.94)+(R8/152.02*3)+(R13/60.09*2)+(R14/101.94*3)+(R15/40.32)+(R11/74.71)+(R5/94.2)+(R12/61.982)))</f>
        <v>0.10391777913657232</v>
      </c>
      <c r="S26" s="70">
        <f t="shared" si="37"/>
        <v>0.11550174596817481</v>
      </c>
      <c r="T26" s="70">
        <f t="shared" si="37"/>
        <v>6.3867150149459637E-2</v>
      </c>
      <c r="U26" s="70">
        <f t="shared" si="37"/>
        <v>7.4005991573677696E-2</v>
      </c>
      <c r="V26" s="70">
        <f t="shared" si="37"/>
        <v>6.5420767835051991E-2</v>
      </c>
      <c r="W26" s="70">
        <f t="shared" si="37"/>
        <v>0.11933238484142594</v>
      </c>
      <c r="X26" s="70">
        <f t="shared" si="37"/>
        <v>0.13353602479314539</v>
      </c>
      <c r="Y26" s="70">
        <f t="shared" si="37"/>
        <v>0.11260899588314906</v>
      </c>
      <c r="Z26" s="70">
        <f t="shared" si="37"/>
        <v>0.11592088783790466</v>
      </c>
      <c r="AA26" s="70">
        <f t="shared" si="37"/>
        <v>0.12009480483031344</v>
      </c>
      <c r="AB26" s="70">
        <f t="shared" si="37"/>
        <v>0.10654501605032077</v>
      </c>
      <c r="AC26" s="70"/>
      <c r="AD26" s="70">
        <f t="shared" ref="AD26:AS26" si="38">AD10/71.85*(11/((AD6/56.08)+(AD7/79.9*2)+(AD10/71.85)+(AD9/70.94)+(AD8/152.02*3)+(AD13/60.09*2)+(AD14/101.94*3)+(AD15/40.32)+(AD11/74.71)+(AD5/94.2)+(AD12/61.982)))</f>
        <v>7.6026009581383058E-2</v>
      </c>
      <c r="AE26" s="70">
        <f t="shared" si="38"/>
        <v>6.4379537995283023E-2</v>
      </c>
      <c r="AF26" s="70">
        <f t="shared" si="38"/>
        <v>6.9298604955306944E-2</v>
      </c>
      <c r="AG26" s="70">
        <f t="shared" si="38"/>
        <v>7.0446787948443529E-2</v>
      </c>
      <c r="AH26" s="70">
        <f t="shared" si="38"/>
        <v>6.5475815589599029E-2</v>
      </c>
      <c r="AI26" s="70">
        <f t="shared" si="38"/>
        <v>7.9845172932365135E-2</v>
      </c>
      <c r="AJ26" s="70">
        <f t="shared" si="38"/>
        <v>8.0282096451437107E-2</v>
      </c>
      <c r="AK26" s="70">
        <f t="shared" si="38"/>
        <v>9.6188379838167332E-2</v>
      </c>
      <c r="AL26" s="70">
        <f t="shared" si="38"/>
        <v>7.749129507911752E-2</v>
      </c>
      <c r="AM26" s="70">
        <f t="shared" si="38"/>
        <v>7.8987346581722184E-2</v>
      </c>
      <c r="AN26" s="70">
        <f t="shared" si="38"/>
        <v>7.2151745662762862E-2</v>
      </c>
      <c r="AO26" s="70">
        <f t="shared" si="38"/>
        <v>6.8179936823221834E-2</v>
      </c>
      <c r="AP26" s="70">
        <f t="shared" si="38"/>
        <v>6.9102566200985538E-2</v>
      </c>
      <c r="AQ26" s="70">
        <f t="shared" si="38"/>
        <v>7.0528380010288091E-2</v>
      </c>
      <c r="AR26" s="70">
        <f t="shared" si="38"/>
        <v>7.7939633112556819E-2</v>
      </c>
      <c r="AS26" s="70">
        <f t="shared" si="38"/>
        <v>0.11262648300292342</v>
      </c>
      <c r="AT26" s="70">
        <f t="shared" ref="AT26:BC26" si="39">AT10/71.85*(11/((AT6/56.08)+(AT7/79.9*2)+(AT10/71.85)+(AT9/70.94)+(AT8/152.02*3)+(AT13/60.09*2)+(AT14/101.94*3)+(AT15/40.32)+(AT11/74.71)+(AT5/94.2)+(AT12/61.982)))</f>
        <v>9.1497270760763361E-2</v>
      </c>
      <c r="AU26" s="70">
        <f t="shared" si="39"/>
        <v>7.7172504639556327E-2</v>
      </c>
      <c r="AV26" s="70">
        <f t="shared" si="39"/>
        <v>7.8218340071866593E-2</v>
      </c>
      <c r="AW26" s="70">
        <f t="shared" si="39"/>
        <v>7.4333114732591923E-2</v>
      </c>
      <c r="AX26" s="70">
        <f t="shared" si="39"/>
        <v>7.6531253712408195E-2</v>
      </c>
      <c r="AY26" s="70">
        <f t="shared" si="39"/>
        <v>6.5128457090795164E-2</v>
      </c>
      <c r="AZ26" s="70">
        <f t="shared" si="39"/>
        <v>6.3863284397229839E-2</v>
      </c>
      <c r="BA26" s="70">
        <f t="shared" si="39"/>
        <v>7.7258589910271361E-2</v>
      </c>
      <c r="BB26" s="70">
        <f t="shared" si="39"/>
        <v>7.0652849443359172E-2</v>
      </c>
      <c r="BC26" s="70">
        <f t="shared" si="39"/>
        <v>8.7040124185734119E-2</v>
      </c>
      <c r="BD26" s="85"/>
      <c r="BE26" s="70">
        <f>BE10/71.85*(11/((BE6/56.08)+(BE7/79.9*2)+(BE10/71.85)+(BE9/70.94)+(BE8/152.02*3)+(BE13/60.09*2)+(BE14/101.94*3)+(BE15/40.32)+(BE11/74.71)+(BE5/94.2)+(BE12/61.982)))</f>
        <v>0.10301654870593929</v>
      </c>
      <c r="BF26" s="70">
        <f>BF10/71.85*(11/((BF6/56.08)+(BF7/79.9*2)+(BF10/71.85)+(BF9/70.94)+(BF8/152.02*3)+(BF13/60.09*2)+(BF14/101.94*3)+(BF15/40.32)+(BF11/74.71)+(BF5/94.2)+(BF12/61.982)))</f>
        <v>9.7497987836869249E-2</v>
      </c>
      <c r="BG26" s="70">
        <f>BG10/71.85*(11/((BG6/56.08)+(BG7/79.9*2)+(BG10/71.85)+(BG9/70.94)+(BG8/152.02*3)+(BG13/60.09*2)+(BG14/101.94*3)+(BG15/40.32)+(BG11/74.71)+(BG5/94.2)+(BG12/61.982)))</f>
        <v>9.7564629552996066E-2</v>
      </c>
      <c r="BH26" s="70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</row>
    <row r="27" spans="1:74" s="50" customFormat="1">
      <c r="A27" s="5" t="s">
        <v>357</v>
      </c>
      <c r="B27" s="70">
        <f t="shared" ref="B27:Q27" si="40">IF(((4-(B21+B22+B23+B24+B25))*(B26/(B26+B28)))&gt;0,IF(B26&gt;((4-(B21+B22+B23+B24+B25))*(B26/(B26+B28))),((4-(B21+B22+B23+B24+B25))*(B26/(B26+B28))),B26),0)</f>
        <v>8.228343029155688E-2</v>
      </c>
      <c r="C27" s="70">
        <f t="shared" si="40"/>
        <v>8.5666759827192809E-2</v>
      </c>
      <c r="D27" s="70">
        <f t="shared" si="40"/>
        <v>9.8134660294302622E-2</v>
      </c>
      <c r="E27" s="70">
        <f t="shared" si="40"/>
        <v>7.9746052488758143E-2</v>
      </c>
      <c r="F27" s="70">
        <f t="shared" si="40"/>
        <v>9.371028498846469E-2</v>
      </c>
      <c r="G27" s="70">
        <f t="shared" si="40"/>
        <v>6.6785287191407819E-2</v>
      </c>
      <c r="H27" s="70">
        <f t="shared" si="40"/>
        <v>6.1061669497713904E-2</v>
      </c>
      <c r="I27" s="70">
        <f t="shared" si="40"/>
        <v>9.447425047357691E-2</v>
      </c>
      <c r="J27" s="70">
        <f t="shared" si="40"/>
        <v>8.2414300892655543E-2</v>
      </c>
      <c r="K27" s="70">
        <f t="shared" si="40"/>
        <v>7.6139715318677775E-2</v>
      </c>
      <c r="L27" s="70">
        <f t="shared" si="40"/>
        <v>7.1830591507487565E-2</v>
      </c>
      <c r="M27" s="70">
        <f t="shared" si="40"/>
        <v>0.11980917496203765</v>
      </c>
      <c r="N27" s="70">
        <f t="shared" si="40"/>
        <v>0.10254777788292617</v>
      </c>
      <c r="O27" s="70">
        <f t="shared" si="40"/>
        <v>0.1172311990031397</v>
      </c>
      <c r="P27" s="70">
        <f t="shared" si="40"/>
        <v>0.11711905856660504</v>
      </c>
      <c r="Q27" s="70">
        <f t="shared" si="40"/>
        <v>0.12007168178341872</v>
      </c>
      <c r="R27" s="70">
        <f t="shared" ref="R27:AB27" si="41">IF(((4-(R21+R22+R23+R24+R25))*(R26/(R26+R28)))&gt;0,IF(R26&gt;((4-(R21+R22+R23+R24+R25))*(R26/(R26+R28))),((4-(R21+R22+R23+R24+R25))*(R26/(R26+R28))),R26),0)</f>
        <v>0.10391777913657232</v>
      </c>
      <c r="S27" s="70">
        <f t="shared" si="41"/>
        <v>0.11550174596817481</v>
      </c>
      <c r="T27" s="70">
        <f t="shared" si="41"/>
        <v>6.3867150149459637E-2</v>
      </c>
      <c r="U27" s="70">
        <f t="shared" si="41"/>
        <v>7.4005991573677696E-2</v>
      </c>
      <c r="V27" s="70">
        <f t="shared" si="41"/>
        <v>6.5420767835051991E-2</v>
      </c>
      <c r="W27" s="70">
        <f t="shared" si="41"/>
        <v>0.11933238484142594</v>
      </c>
      <c r="X27" s="70">
        <f t="shared" si="41"/>
        <v>0.13353602479314539</v>
      </c>
      <c r="Y27" s="70">
        <f t="shared" si="41"/>
        <v>0.11260899588314906</v>
      </c>
      <c r="Z27" s="70">
        <f t="shared" si="41"/>
        <v>0.11592088783790466</v>
      </c>
      <c r="AA27" s="70">
        <f t="shared" si="41"/>
        <v>0.12009480483031344</v>
      </c>
      <c r="AB27" s="70">
        <f t="shared" si="41"/>
        <v>0.10654501605032077</v>
      </c>
      <c r="AC27" s="70"/>
      <c r="AD27" s="70">
        <f t="shared" ref="AD27:AS27" si="42">IF(((4-(AD21+AD22+AD23+AD24+AD25))*(AD26/(AD26+AD28)))&gt;0,IF(AD26&gt;((4-(AD21+AD22+AD23+AD24+AD25))*(AD26/(AD26+AD28))),((4-(AD21+AD22+AD23+AD24+AD25))*(AD26/(AD26+AD28))),AD26),0)</f>
        <v>7.6026009581383058E-2</v>
      </c>
      <c r="AE27" s="70">
        <f t="shared" si="42"/>
        <v>6.4379537995283023E-2</v>
      </c>
      <c r="AF27" s="70">
        <f t="shared" si="42"/>
        <v>6.9298604955306944E-2</v>
      </c>
      <c r="AG27" s="70">
        <f t="shared" si="42"/>
        <v>7.0446787948443529E-2</v>
      </c>
      <c r="AH27" s="70">
        <f t="shared" si="42"/>
        <v>6.5475815589599029E-2</v>
      </c>
      <c r="AI27" s="70">
        <f t="shared" si="42"/>
        <v>7.9845172932365135E-2</v>
      </c>
      <c r="AJ27" s="70">
        <f t="shared" si="42"/>
        <v>8.0282096451437107E-2</v>
      </c>
      <c r="AK27" s="70">
        <f t="shared" si="42"/>
        <v>9.6188379838167332E-2</v>
      </c>
      <c r="AL27" s="70">
        <f t="shared" si="42"/>
        <v>7.749129507911752E-2</v>
      </c>
      <c r="AM27" s="70">
        <f t="shared" si="42"/>
        <v>7.8987346581722184E-2</v>
      </c>
      <c r="AN27" s="70">
        <f t="shared" si="42"/>
        <v>7.2151745662762862E-2</v>
      </c>
      <c r="AO27" s="70">
        <f t="shared" si="42"/>
        <v>6.8179936823221834E-2</v>
      </c>
      <c r="AP27" s="70">
        <f t="shared" si="42"/>
        <v>6.9102566200985538E-2</v>
      </c>
      <c r="AQ27" s="70">
        <f t="shared" si="42"/>
        <v>7.0528380010288091E-2</v>
      </c>
      <c r="AR27" s="70">
        <f t="shared" si="42"/>
        <v>7.7939633112556819E-2</v>
      </c>
      <c r="AS27" s="70">
        <f t="shared" si="42"/>
        <v>0.11262648300292342</v>
      </c>
      <c r="AT27" s="70">
        <f t="shared" ref="AT27:BC27" si="43">IF(((4-(AT21+AT22+AT23+AT24+AT25))*(AT26/(AT26+AT28)))&gt;0,IF(AT26&gt;((4-(AT21+AT22+AT23+AT24+AT25))*(AT26/(AT26+AT28))),((4-(AT21+AT22+AT23+AT24+AT25))*(AT26/(AT26+AT28))),AT26),0)</f>
        <v>9.1497270760763361E-2</v>
      </c>
      <c r="AU27" s="70">
        <f t="shared" si="43"/>
        <v>7.7172504639556327E-2</v>
      </c>
      <c r="AV27" s="70">
        <f t="shared" si="43"/>
        <v>7.8218340071866593E-2</v>
      </c>
      <c r="AW27" s="70">
        <f t="shared" si="43"/>
        <v>7.4333114732591923E-2</v>
      </c>
      <c r="AX27" s="70">
        <f t="shared" si="43"/>
        <v>7.6531253712408195E-2</v>
      </c>
      <c r="AY27" s="70">
        <f t="shared" si="43"/>
        <v>6.5128457090795164E-2</v>
      </c>
      <c r="AZ27" s="70">
        <f t="shared" si="43"/>
        <v>6.3863284397229839E-2</v>
      </c>
      <c r="BA27" s="70">
        <f t="shared" si="43"/>
        <v>7.7258589910271361E-2</v>
      </c>
      <c r="BB27" s="70">
        <f t="shared" si="43"/>
        <v>7.0652849443359172E-2</v>
      </c>
      <c r="BC27" s="70">
        <f t="shared" si="43"/>
        <v>8.7040124185734119E-2</v>
      </c>
      <c r="BD27" s="85"/>
      <c r="BE27" s="70">
        <f>IF(((4-(BE21+BE22+BE23+BE24+BE25))*(BE26/(BE26+BE28)))&gt;0,IF(BE26&gt;((4-(BE21+BE22+BE23+BE24+BE25))*(BE26/(BE26+BE28))),((4-(BE21+BE22+BE23+BE24+BE25))*(BE26/(BE26+BE28))),BE26),0)</f>
        <v>0.10301654870593929</v>
      </c>
      <c r="BF27" s="70">
        <f>IF(((4-(BF21+BF22+BF23+BF24+BF25))*(BF26/(BF26+BF28)))&gt;0,IF(BF26&gt;((4-(BF21+BF22+BF23+BF24+BF25))*(BF26/(BF26+BF28))),((4-(BF21+BF22+BF23+BF24+BF25))*(BF26/(BF26+BF28))),BF26),0)</f>
        <v>9.7497987836869249E-2</v>
      </c>
      <c r="BG27" s="70">
        <f>IF(((4-(BG21+BG22+BG23+BG24+BG25))*(BG26/(BG26+BG28)))&gt;0,IF(BG26&gt;((4-(BG21+BG22+BG23+BG24+BG25))*(BG26/(BG26+BG28))),((4-(BG21+BG22+BG23+BG24+BG25))*(BG26/(BG26+BG28))),BG26),0)</f>
        <v>9.7564629552996066E-2</v>
      </c>
      <c r="BH27" s="70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</row>
    <row r="28" spans="1:74" s="50" customFormat="1">
      <c r="A28" s="14" t="s">
        <v>358</v>
      </c>
      <c r="B28" s="70">
        <f t="shared" ref="B28:Q28" si="44">B15/40.32*(11/((B6/56.08)+(B7/79.9*2)+(B10/71.85)+(B9/70.94)+(B8/152.02*3)+(B13/60.09*2)+(B14/101.94*3)+(B15/40.32)+(B11/74.71)+(B5/94.2)+(B12/61.982)))</f>
        <v>0.43190596216191235</v>
      </c>
      <c r="C28" s="70">
        <f t="shared" si="44"/>
        <v>0.3952923412684069</v>
      </c>
      <c r="D28" s="70">
        <f t="shared" si="44"/>
        <v>0.32093606763971216</v>
      </c>
      <c r="E28" s="70">
        <f t="shared" si="44"/>
        <v>0.3392554218324802</v>
      </c>
      <c r="F28" s="70">
        <f t="shared" si="44"/>
        <v>0.35907927895172176</v>
      </c>
      <c r="G28" s="70">
        <f t="shared" si="44"/>
        <v>0.31384348264244261</v>
      </c>
      <c r="H28" s="70">
        <f t="shared" si="44"/>
        <v>0.36079613103706776</v>
      </c>
      <c r="I28" s="70">
        <f t="shared" si="44"/>
        <v>0.32809616667633218</v>
      </c>
      <c r="J28" s="70">
        <f t="shared" si="44"/>
        <v>0.40434675648613294</v>
      </c>
      <c r="K28" s="70">
        <f t="shared" si="44"/>
        <v>0.38142355827334001</v>
      </c>
      <c r="L28" s="70">
        <f t="shared" si="44"/>
        <v>0.35994459212205637</v>
      </c>
      <c r="M28" s="70">
        <f t="shared" si="44"/>
        <v>0.35038391466482077</v>
      </c>
      <c r="N28" s="70">
        <f t="shared" si="44"/>
        <v>0.42131613811296043</v>
      </c>
      <c r="O28" s="70">
        <f t="shared" si="44"/>
        <v>0.38248844566347817</v>
      </c>
      <c r="P28" s="70">
        <f t="shared" si="44"/>
        <v>0.37546522420998185</v>
      </c>
      <c r="Q28" s="70">
        <f t="shared" si="44"/>
        <v>0.38775244403335668</v>
      </c>
      <c r="R28" s="70">
        <f t="shared" ref="R28:AB28" si="45">R15/40.32*(11/((R6/56.08)+(R7/79.9*2)+(R10/71.85)+(R9/70.94)+(R8/152.02*3)+(R13/60.09*2)+(R14/101.94*3)+(R15/40.32)+(R11/74.71)+(R5/94.2)+(R12/61.982)))</f>
        <v>0.33271506858930883</v>
      </c>
      <c r="S28" s="70">
        <f t="shared" si="45"/>
        <v>0.37109050794380055</v>
      </c>
      <c r="T28" s="70">
        <f t="shared" si="45"/>
        <v>0.25481551323359686</v>
      </c>
      <c r="U28" s="70">
        <f t="shared" si="45"/>
        <v>0.25368943199278349</v>
      </c>
      <c r="V28" s="70">
        <f t="shared" si="45"/>
        <v>0.26255712598293174</v>
      </c>
      <c r="W28" s="70">
        <f t="shared" si="45"/>
        <v>0.29674285017732355</v>
      </c>
      <c r="X28" s="70">
        <f t="shared" si="45"/>
        <v>0.29279901232882422</v>
      </c>
      <c r="Y28" s="70">
        <f t="shared" si="45"/>
        <v>0.27247642756411694</v>
      </c>
      <c r="Z28" s="70">
        <f t="shared" si="45"/>
        <v>0.29565990663887265</v>
      </c>
      <c r="AA28" s="70">
        <f t="shared" si="45"/>
        <v>0.27101041875657395</v>
      </c>
      <c r="AB28" s="70">
        <f t="shared" si="45"/>
        <v>0.29433723402491119</v>
      </c>
      <c r="AC28" s="70"/>
      <c r="AD28" s="70">
        <f t="shared" ref="AD28:AS28" si="46">AD15/40.32*(11/((AD6/56.08)+(AD7/79.9*2)+(AD10/71.85)+(AD9/70.94)+(AD8/152.02*3)+(AD13/60.09*2)+(AD14/101.94*3)+(AD15/40.32)+(AD11/74.71)+(AD5/94.2)+(AD12/61.982)))</f>
        <v>0.32668428952486606</v>
      </c>
      <c r="AE28" s="70">
        <f t="shared" si="46"/>
        <v>0.35277615700038029</v>
      </c>
      <c r="AF28" s="70">
        <f t="shared" si="46"/>
        <v>0.27282608479471571</v>
      </c>
      <c r="AG28" s="70">
        <f t="shared" si="46"/>
        <v>0.34306718269989872</v>
      </c>
      <c r="AH28" s="70">
        <f t="shared" si="46"/>
        <v>0.31019143871121468</v>
      </c>
      <c r="AI28" s="70">
        <f t="shared" si="46"/>
        <v>0.33332177391858064</v>
      </c>
      <c r="AJ28" s="70">
        <f t="shared" si="46"/>
        <v>0.2971292220142045</v>
      </c>
      <c r="AK28" s="70">
        <f t="shared" si="46"/>
        <v>0.30657387806115882</v>
      </c>
      <c r="AL28" s="70">
        <f t="shared" si="46"/>
        <v>0.36523546883512098</v>
      </c>
      <c r="AM28" s="70">
        <f t="shared" si="46"/>
        <v>0.304469995326133</v>
      </c>
      <c r="AN28" s="70">
        <f t="shared" si="46"/>
        <v>0.2691083329458841</v>
      </c>
      <c r="AO28" s="70">
        <f t="shared" si="46"/>
        <v>0.27914012529681548</v>
      </c>
      <c r="AP28" s="70">
        <f t="shared" si="46"/>
        <v>0.28532522820265743</v>
      </c>
      <c r="AQ28" s="70">
        <f t="shared" si="46"/>
        <v>0.33115986442614126</v>
      </c>
      <c r="AR28" s="70">
        <f t="shared" si="46"/>
        <v>0.30175657991810773</v>
      </c>
      <c r="AS28" s="70">
        <f t="shared" si="46"/>
        <v>0.30753987300083108</v>
      </c>
      <c r="AT28" s="70">
        <f t="shared" ref="AT28:BC28" si="47">AT15/40.32*(11/((AT6/56.08)+(AT7/79.9*2)+(AT10/71.85)+(AT9/70.94)+(AT8/152.02*3)+(AT13/60.09*2)+(AT14/101.94*3)+(AT15/40.32)+(AT11/74.71)+(AT5/94.2)+(AT12/61.982)))</f>
        <v>0.29892058509329245</v>
      </c>
      <c r="AU28" s="70">
        <f t="shared" si="47"/>
        <v>0.30992038808149114</v>
      </c>
      <c r="AV28" s="70">
        <f t="shared" si="47"/>
        <v>0.33993802134746942</v>
      </c>
      <c r="AW28" s="70">
        <f t="shared" si="47"/>
        <v>0.3625253018795816</v>
      </c>
      <c r="AX28" s="70">
        <f t="shared" si="47"/>
        <v>0.3188699822734441</v>
      </c>
      <c r="AY28" s="70">
        <f t="shared" si="47"/>
        <v>0.29498207895212414</v>
      </c>
      <c r="AZ28" s="70">
        <f t="shared" si="47"/>
        <v>0.28013290500250076</v>
      </c>
      <c r="BA28" s="70">
        <f t="shared" si="47"/>
        <v>0.30157237990414526</v>
      </c>
      <c r="BB28" s="70">
        <f t="shared" si="47"/>
        <v>0.29505502173057224</v>
      </c>
      <c r="BC28" s="70">
        <f t="shared" si="47"/>
        <v>0.29575919157342401</v>
      </c>
      <c r="BD28" s="85"/>
      <c r="BE28" s="70">
        <f>BE15/40.32*(11/((BE6/56.08)+(BE7/79.9*2)+(BE10/71.85)+(BE9/70.94)+(BE8/152.02*3)+(BE13/60.09*2)+(BE14/101.94*3)+(BE15/40.32)+(BE11/74.71)+(BE5/94.2)+(BE12/61.982)))</f>
        <v>0.34787946228664551</v>
      </c>
      <c r="BF28" s="70">
        <f>BF15/40.32*(11/((BF6/56.08)+(BF7/79.9*2)+(BF10/71.85)+(BF9/70.94)+(BF8/152.02*3)+(BF13/60.09*2)+(BF14/101.94*3)+(BF15/40.32)+(BF11/74.71)+(BF5/94.2)+(BF12/61.982)))</f>
        <v>0.32817713085136663</v>
      </c>
      <c r="BG28" s="70">
        <f>BG15/40.32*(11/((BG6/56.08)+(BG7/79.9*2)+(BG10/71.85)+(BG9/70.94)+(BG8/152.02*3)+(BG13/60.09*2)+(BG14/101.94*3)+(BG15/40.32)+(BG11/74.71)+(BG5/94.2)+(BG12/61.982)))</f>
        <v>0.31891403921712952</v>
      </c>
      <c r="BH28" s="70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</row>
    <row r="29" spans="1:74" s="50" customFormat="1">
      <c r="A29" s="5" t="s">
        <v>359</v>
      </c>
      <c r="B29" s="70">
        <f t="shared" ref="B29:Q29" si="48">IF(((4-(B21+B22+B23+B24+B25))*(B28/(B26+B28)))&gt;0,IF(B28&gt;((4-(B21+B22+B23+B24+B25))*(B28/(B26+B28))),((4-(B21+B22+B23+B24+B25))*(B28/(B26+B28))),B28),0)</f>
        <v>0.43190596216191235</v>
      </c>
      <c r="C29" s="70">
        <f t="shared" si="48"/>
        <v>0.3952923412684069</v>
      </c>
      <c r="D29" s="70">
        <f t="shared" si="48"/>
        <v>0.32093606763971216</v>
      </c>
      <c r="E29" s="70">
        <f t="shared" si="48"/>
        <v>0.3392554218324802</v>
      </c>
      <c r="F29" s="70">
        <f t="shared" si="48"/>
        <v>0.35907927895172176</v>
      </c>
      <c r="G29" s="70">
        <f t="shared" si="48"/>
        <v>0.31384348264244261</v>
      </c>
      <c r="H29" s="70">
        <f t="shared" si="48"/>
        <v>0.36079613103706776</v>
      </c>
      <c r="I29" s="70">
        <f t="shared" si="48"/>
        <v>0.32809616667633218</v>
      </c>
      <c r="J29" s="70">
        <f t="shared" si="48"/>
        <v>0.40434675648613294</v>
      </c>
      <c r="K29" s="70">
        <f t="shared" si="48"/>
        <v>0.38142355827334001</v>
      </c>
      <c r="L29" s="70">
        <f t="shared" si="48"/>
        <v>0.35994459212205637</v>
      </c>
      <c r="M29" s="70">
        <f t="shared" si="48"/>
        <v>0.35038391466482077</v>
      </c>
      <c r="N29" s="70">
        <f t="shared" si="48"/>
        <v>0.42131613811296043</v>
      </c>
      <c r="O29" s="70">
        <f t="shared" si="48"/>
        <v>0.38248844566347817</v>
      </c>
      <c r="P29" s="70">
        <f t="shared" si="48"/>
        <v>0.37546522420998185</v>
      </c>
      <c r="Q29" s="70">
        <f t="shared" si="48"/>
        <v>0.38775244403335668</v>
      </c>
      <c r="R29" s="70">
        <f t="shared" ref="R29:AB29" si="49">IF(((4-(R21+R22+R23+R24+R25))*(R28/(R26+R28)))&gt;0,IF(R28&gt;((4-(R21+R22+R23+R24+R25))*(R28/(R26+R28))),((4-(R21+R22+R23+R24+R25))*(R28/(R26+R28))),R28),0)</f>
        <v>0.33271506858930883</v>
      </c>
      <c r="S29" s="70">
        <f t="shared" si="49"/>
        <v>0.37109050794380055</v>
      </c>
      <c r="T29" s="70">
        <f t="shared" si="49"/>
        <v>0.25481551323359686</v>
      </c>
      <c r="U29" s="70">
        <f t="shared" si="49"/>
        <v>0.25368943199278349</v>
      </c>
      <c r="V29" s="70">
        <f t="shared" si="49"/>
        <v>0.26255712598293174</v>
      </c>
      <c r="W29" s="70">
        <f t="shared" si="49"/>
        <v>0.29674285017732355</v>
      </c>
      <c r="X29" s="70">
        <f t="shared" si="49"/>
        <v>0.29279901232882422</v>
      </c>
      <c r="Y29" s="70">
        <f t="shared" si="49"/>
        <v>0.27247642756411694</v>
      </c>
      <c r="Z29" s="70">
        <f t="shared" si="49"/>
        <v>0.29565990663887265</v>
      </c>
      <c r="AA29" s="70">
        <f t="shared" si="49"/>
        <v>0.27101041875657395</v>
      </c>
      <c r="AB29" s="70">
        <f t="shared" si="49"/>
        <v>0.29433723402491119</v>
      </c>
      <c r="AC29" s="70"/>
      <c r="AD29" s="70">
        <f t="shared" ref="AD29:AS29" si="50">IF(((4-(AD21+AD22+AD23+AD24+AD25))*(AD28/(AD26+AD28)))&gt;0,IF(AD28&gt;((4-(AD21+AD22+AD23+AD24+AD25))*(AD28/(AD26+AD28))),((4-(AD21+AD22+AD23+AD24+AD25))*(AD28/(AD26+AD28))),AD28),0)</f>
        <v>0.32668428952486606</v>
      </c>
      <c r="AE29" s="70">
        <f t="shared" si="50"/>
        <v>0.35277615700038029</v>
      </c>
      <c r="AF29" s="70">
        <f t="shared" si="50"/>
        <v>0.27282608479471571</v>
      </c>
      <c r="AG29" s="70">
        <f t="shared" si="50"/>
        <v>0.34306718269989872</v>
      </c>
      <c r="AH29" s="70">
        <f t="shared" si="50"/>
        <v>0.31019143871121468</v>
      </c>
      <c r="AI29" s="70">
        <f t="shared" si="50"/>
        <v>0.33332177391858064</v>
      </c>
      <c r="AJ29" s="70">
        <f t="shared" si="50"/>
        <v>0.2971292220142045</v>
      </c>
      <c r="AK29" s="70">
        <f t="shared" si="50"/>
        <v>0.30657387806115882</v>
      </c>
      <c r="AL29" s="70">
        <f t="shared" si="50"/>
        <v>0.36523546883512098</v>
      </c>
      <c r="AM29" s="70">
        <f t="shared" si="50"/>
        <v>0.304469995326133</v>
      </c>
      <c r="AN29" s="70">
        <f t="shared" si="50"/>
        <v>0.2691083329458841</v>
      </c>
      <c r="AO29" s="70">
        <f t="shared" si="50"/>
        <v>0.27914012529681548</v>
      </c>
      <c r="AP29" s="70">
        <f t="shared" si="50"/>
        <v>0.28532522820265743</v>
      </c>
      <c r="AQ29" s="70">
        <f t="shared" si="50"/>
        <v>0.33115986442614126</v>
      </c>
      <c r="AR29" s="70">
        <f t="shared" si="50"/>
        <v>0.30175657991810773</v>
      </c>
      <c r="AS29" s="70">
        <f t="shared" si="50"/>
        <v>0.30753987300083108</v>
      </c>
      <c r="AT29" s="70">
        <f t="shared" ref="AT29:BC29" si="51">IF(((4-(AT21+AT22+AT23+AT24+AT25))*(AT28/(AT26+AT28)))&gt;0,IF(AT28&gt;((4-(AT21+AT22+AT23+AT24+AT25))*(AT28/(AT26+AT28))),((4-(AT21+AT22+AT23+AT24+AT25))*(AT28/(AT26+AT28))),AT28),0)</f>
        <v>0.29892058509329245</v>
      </c>
      <c r="AU29" s="70">
        <f t="shared" si="51"/>
        <v>0.30992038808149114</v>
      </c>
      <c r="AV29" s="70">
        <f t="shared" si="51"/>
        <v>0.33993802134746942</v>
      </c>
      <c r="AW29" s="70">
        <f t="shared" si="51"/>
        <v>0.3625253018795816</v>
      </c>
      <c r="AX29" s="70">
        <f t="shared" si="51"/>
        <v>0.3188699822734441</v>
      </c>
      <c r="AY29" s="70">
        <f t="shared" si="51"/>
        <v>0.29498207895212414</v>
      </c>
      <c r="AZ29" s="70">
        <f t="shared" si="51"/>
        <v>0.28013290500250076</v>
      </c>
      <c r="BA29" s="70">
        <f t="shared" si="51"/>
        <v>0.30157237990414526</v>
      </c>
      <c r="BB29" s="70">
        <f t="shared" si="51"/>
        <v>0.29505502173057224</v>
      </c>
      <c r="BC29" s="70">
        <f t="shared" si="51"/>
        <v>0.29575919157342401</v>
      </c>
      <c r="BD29" s="85"/>
      <c r="BE29" s="70">
        <f>IF(((4-(BE21+BE22+BE23+BE24+BE25))*(BE28/(BE26+BE28)))&gt;0,IF(BE28&gt;((4-(BE21+BE22+BE23+BE24+BE25))*(BE28/(BE26+BE28))),((4-(BE21+BE22+BE23+BE24+BE25))*(BE28/(BE26+BE28))),BE28),0)</f>
        <v>0.34787946228664551</v>
      </c>
      <c r="BF29" s="70">
        <f>IF(((4-(BF21+BF22+BF23+BF24+BF25))*(BF28/(BF26+BF28)))&gt;0,IF(BF28&gt;((4-(BF21+BF22+BF23+BF24+BF25))*(BF28/(BF26+BF28))),((4-(BF21+BF22+BF23+BF24+BF25))*(BF28/(BF26+BF28))),BF28),0)</f>
        <v>0.32817713085136663</v>
      </c>
      <c r="BG29" s="70">
        <f>IF(((4-(BG21+BG22+BG23+BG24+BG25))*(BG28/(BG26+BG28)))&gt;0,IF(BG28&gt;((4-(BG21+BG22+BG23+BG24+BG25))*(BG28/(BG26+BG28))),((4-(BG21+BG22+BG23+BG24+BG25))*(BG28/(BG26+BG28))),BG28),0)</f>
        <v>0.31891403921712952</v>
      </c>
      <c r="BH29" s="70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</row>
    <row r="30" spans="1:74" s="4" customFormat="1">
      <c r="A30" s="69" t="s">
        <v>360</v>
      </c>
      <c r="B30" s="70">
        <f t="shared" ref="B30:Q30" si="52">B26-B27</f>
        <v>0</v>
      </c>
      <c r="C30" s="70">
        <f t="shared" si="52"/>
        <v>0</v>
      </c>
      <c r="D30" s="70">
        <f t="shared" si="52"/>
        <v>0</v>
      </c>
      <c r="E30" s="70">
        <f t="shared" si="52"/>
        <v>0</v>
      </c>
      <c r="F30" s="70">
        <f t="shared" si="52"/>
        <v>0</v>
      </c>
      <c r="G30" s="70">
        <f t="shared" si="52"/>
        <v>0</v>
      </c>
      <c r="H30" s="70">
        <f t="shared" si="52"/>
        <v>0</v>
      </c>
      <c r="I30" s="70">
        <f t="shared" si="52"/>
        <v>0</v>
      </c>
      <c r="J30" s="70">
        <f t="shared" si="52"/>
        <v>0</v>
      </c>
      <c r="K30" s="70">
        <f t="shared" si="52"/>
        <v>0</v>
      </c>
      <c r="L30" s="70">
        <f t="shared" si="52"/>
        <v>0</v>
      </c>
      <c r="M30" s="70">
        <f t="shared" si="52"/>
        <v>0</v>
      </c>
      <c r="N30" s="70">
        <f t="shared" si="52"/>
        <v>0</v>
      </c>
      <c r="O30" s="70">
        <f t="shared" si="52"/>
        <v>0</v>
      </c>
      <c r="P30" s="70">
        <f t="shared" si="52"/>
        <v>0</v>
      </c>
      <c r="Q30" s="70">
        <f t="shared" si="52"/>
        <v>0</v>
      </c>
      <c r="R30" s="70">
        <f t="shared" ref="R30:AB30" si="53">R26-R27</f>
        <v>0</v>
      </c>
      <c r="S30" s="70">
        <f t="shared" si="53"/>
        <v>0</v>
      </c>
      <c r="T30" s="70">
        <f t="shared" si="53"/>
        <v>0</v>
      </c>
      <c r="U30" s="70">
        <f t="shared" si="53"/>
        <v>0</v>
      </c>
      <c r="V30" s="70">
        <f t="shared" si="53"/>
        <v>0</v>
      </c>
      <c r="W30" s="70">
        <f t="shared" si="53"/>
        <v>0</v>
      </c>
      <c r="X30" s="70">
        <f t="shared" si="53"/>
        <v>0</v>
      </c>
      <c r="Y30" s="70">
        <f t="shared" si="53"/>
        <v>0</v>
      </c>
      <c r="Z30" s="70">
        <f t="shared" si="53"/>
        <v>0</v>
      </c>
      <c r="AA30" s="70">
        <f t="shared" si="53"/>
        <v>0</v>
      </c>
      <c r="AB30" s="70">
        <f t="shared" si="53"/>
        <v>0</v>
      </c>
      <c r="AC30" s="70"/>
      <c r="AD30" s="70">
        <f t="shared" ref="AD30:AS30" si="54">AD26-AD27</f>
        <v>0</v>
      </c>
      <c r="AE30" s="70">
        <f t="shared" si="54"/>
        <v>0</v>
      </c>
      <c r="AF30" s="70">
        <f t="shared" si="54"/>
        <v>0</v>
      </c>
      <c r="AG30" s="70">
        <f t="shared" si="54"/>
        <v>0</v>
      </c>
      <c r="AH30" s="70">
        <f t="shared" si="54"/>
        <v>0</v>
      </c>
      <c r="AI30" s="70">
        <f t="shared" si="54"/>
        <v>0</v>
      </c>
      <c r="AJ30" s="70">
        <f t="shared" si="54"/>
        <v>0</v>
      </c>
      <c r="AK30" s="70">
        <f t="shared" si="54"/>
        <v>0</v>
      </c>
      <c r="AL30" s="70">
        <f t="shared" si="54"/>
        <v>0</v>
      </c>
      <c r="AM30" s="70">
        <f t="shared" si="54"/>
        <v>0</v>
      </c>
      <c r="AN30" s="70">
        <f t="shared" si="54"/>
        <v>0</v>
      </c>
      <c r="AO30" s="70">
        <f t="shared" si="54"/>
        <v>0</v>
      </c>
      <c r="AP30" s="70">
        <f t="shared" si="54"/>
        <v>0</v>
      </c>
      <c r="AQ30" s="70">
        <f t="shared" si="54"/>
        <v>0</v>
      </c>
      <c r="AR30" s="70">
        <f t="shared" si="54"/>
        <v>0</v>
      </c>
      <c r="AS30" s="70">
        <f t="shared" si="54"/>
        <v>0</v>
      </c>
      <c r="AT30" s="70">
        <f t="shared" ref="AT30:BC30" si="55">AT26-AT27</f>
        <v>0</v>
      </c>
      <c r="AU30" s="70">
        <f t="shared" si="55"/>
        <v>0</v>
      </c>
      <c r="AV30" s="70">
        <f t="shared" si="55"/>
        <v>0</v>
      </c>
      <c r="AW30" s="70">
        <f t="shared" si="55"/>
        <v>0</v>
      </c>
      <c r="AX30" s="70">
        <f t="shared" si="55"/>
        <v>0</v>
      </c>
      <c r="AY30" s="70">
        <f t="shared" si="55"/>
        <v>0</v>
      </c>
      <c r="AZ30" s="70">
        <f t="shared" si="55"/>
        <v>0</v>
      </c>
      <c r="BA30" s="70">
        <f t="shared" si="55"/>
        <v>0</v>
      </c>
      <c r="BB30" s="70">
        <f t="shared" si="55"/>
        <v>0</v>
      </c>
      <c r="BC30" s="70">
        <f t="shared" si="55"/>
        <v>0</v>
      </c>
      <c r="BE30" s="70">
        <f>BE26-BE27</f>
        <v>0</v>
      </c>
      <c r="BF30" s="70">
        <f>BF26-BF27</f>
        <v>0</v>
      </c>
      <c r="BG30" s="70">
        <f>BG26-BG27</f>
        <v>0</v>
      </c>
      <c r="BH30" s="70"/>
    </row>
    <row r="31" spans="1:74" s="87" customFormat="1">
      <c r="A31" s="69" t="s">
        <v>361</v>
      </c>
      <c r="B31" s="70">
        <f t="shared" ref="B31:Q31" si="56">B28-B29</f>
        <v>0</v>
      </c>
      <c r="C31" s="70">
        <f t="shared" si="56"/>
        <v>0</v>
      </c>
      <c r="D31" s="70">
        <f t="shared" si="56"/>
        <v>0</v>
      </c>
      <c r="E31" s="70">
        <f t="shared" si="56"/>
        <v>0</v>
      </c>
      <c r="F31" s="70">
        <f t="shared" si="56"/>
        <v>0</v>
      </c>
      <c r="G31" s="70">
        <f t="shared" si="56"/>
        <v>0</v>
      </c>
      <c r="H31" s="70">
        <f t="shared" si="56"/>
        <v>0</v>
      </c>
      <c r="I31" s="70">
        <f t="shared" si="56"/>
        <v>0</v>
      </c>
      <c r="J31" s="70">
        <f t="shared" si="56"/>
        <v>0</v>
      </c>
      <c r="K31" s="70">
        <f t="shared" si="56"/>
        <v>0</v>
      </c>
      <c r="L31" s="70">
        <f t="shared" si="56"/>
        <v>0</v>
      </c>
      <c r="M31" s="70">
        <f t="shared" si="56"/>
        <v>0</v>
      </c>
      <c r="N31" s="70">
        <f t="shared" si="56"/>
        <v>0</v>
      </c>
      <c r="O31" s="70">
        <f t="shared" si="56"/>
        <v>0</v>
      </c>
      <c r="P31" s="70">
        <f t="shared" si="56"/>
        <v>0</v>
      </c>
      <c r="Q31" s="70">
        <f t="shared" si="56"/>
        <v>0</v>
      </c>
      <c r="R31" s="70">
        <f t="shared" ref="R31:AB31" si="57">R28-R29</f>
        <v>0</v>
      </c>
      <c r="S31" s="70">
        <f t="shared" si="57"/>
        <v>0</v>
      </c>
      <c r="T31" s="70">
        <f t="shared" si="57"/>
        <v>0</v>
      </c>
      <c r="U31" s="70">
        <f t="shared" si="57"/>
        <v>0</v>
      </c>
      <c r="V31" s="70">
        <f t="shared" si="57"/>
        <v>0</v>
      </c>
      <c r="W31" s="70">
        <f t="shared" si="57"/>
        <v>0</v>
      </c>
      <c r="X31" s="70">
        <f t="shared" si="57"/>
        <v>0</v>
      </c>
      <c r="Y31" s="70">
        <f t="shared" si="57"/>
        <v>0</v>
      </c>
      <c r="Z31" s="70">
        <f t="shared" si="57"/>
        <v>0</v>
      </c>
      <c r="AA31" s="70">
        <f t="shared" si="57"/>
        <v>0</v>
      </c>
      <c r="AB31" s="70">
        <f t="shared" si="57"/>
        <v>0</v>
      </c>
      <c r="AC31" s="70"/>
      <c r="AD31" s="70">
        <f t="shared" ref="AD31:AS31" si="58">AD28-AD29</f>
        <v>0</v>
      </c>
      <c r="AE31" s="70">
        <f t="shared" si="58"/>
        <v>0</v>
      </c>
      <c r="AF31" s="70">
        <f t="shared" si="58"/>
        <v>0</v>
      </c>
      <c r="AG31" s="70">
        <f t="shared" si="58"/>
        <v>0</v>
      </c>
      <c r="AH31" s="70">
        <f t="shared" si="58"/>
        <v>0</v>
      </c>
      <c r="AI31" s="70">
        <f t="shared" si="58"/>
        <v>0</v>
      </c>
      <c r="AJ31" s="70">
        <f t="shared" si="58"/>
        <v>0</v>
      </c>
      <c r="AK31" s="70">
        <f t="shared" si="58"/>
        <v>0</v>
      </c>
      <c r="AL31" s="70">
        <f t="shared" si="58"/>
        <v>0</v>
      </c>
      <c r="AM31" s="70">
        <f t="shared" si="58"/>
        <v>0</v>
      </c>
      <c r="AN31" s="70">
        <f t="shared" si="58"/>
        <v>0</v>
      </c>
      <c r="AO31" s="70">
        <f t="shared" si="58"/>
        <v>0</v>
      </c>
      <c r="AP31" s="70">
        <f t="shared" si="58"/>
        <v>0</v>
      </c>
      <c r="AQ31" s="70">
        <f t="shared" si="58"/>
        <v>0</v>
      </c>
      <c r="AR31" s="70">
        <f t="shared" si="58"/>
        <v>0</v>
      </c>
      <c r="AS31" s="70">
        <f t="shared" si="58"/>
        <v>0</v>
      </c>
      <c r="AT31" s="70">
        <f t="shared" ref="AT31:BC31" si="59">AT28-AT29</f>
        <v>0</v>
      </c>
      <c r="AU31" s="70">
        <f t="shared" si="59"/>
        <v>0</v>
      </c>
      <c r="AV31" s="70">
        <f t="shared" si="59"/>
        <v>0</v>
      </c>
      <c r="AW31" s="70">
        <f t="shared" si="59"/>
        <v>0</v>
      </c>
      <c r="AX31" s="70">
        <f t="shared" si="59"/>
        <v>0</v>
      </c>
      <c r="AY31" s="70">
        <f t="shared" si="59"/>
        <v>0</v>
      </c>
      <c r="AZ31" s="70">
        <f t="shared" si="59"/>
        <v>0</v>
      </c>
      <c r="BA31" s="70">
        <f t="shared" si="59"/>
        <v>0</v>
      </c>
      <c r="BB31" s="70">
        <f t="shared" si="59"/>
        <v>0</v>
      </c>
      <c r="BC31" s="70">
        <f t="shared" si="59"/>
        <v>0</v>
      </c>
      <c r="BD31" s="86"/>
      <c r="BE31" s="70">
        <f>BE28-BE29</f>
        <v>0</v>
      </c>
      <c r="BF31" s="70">
        <f>BF28-BF29</f>
        <v>0</v>
      </c>
      <c r="BG31" s="70">
        <f>BG28-BG29</f>
        <v>0</v>
      </c>
      <c r="BH31" s="70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</row>
    <row r="32" spans="1:74" s="50" customFormat="1">
      <c r="A32" s="5" t="s">
        <v>362</v>
      </c>
      <c r="B32" s="70">
        <f t="shared" ref="B32:Q32" si="60">B6/56.08*(11/((B6/56.08)+(B7/79.9*2)+(B10/71.85)+(B9/70.94)+(B8/152.02*3)+(B13/60.09*2)+(B14/101.94*3)+(B15/40.32)+(B11/74.71)+(B5/94.2)+(B12/61.982)))</f>
        <v>7.1715630567221293E-3</v>
      </c>
      <c r="C32" s="70">
        <f t="shared" si="60"/>
        <v>6.5417910839593186E-3</v>
      </c>
      <c r="D32" s="70">
        <f t="shared" si="60"/>
        <v>0</v>
      </c>
      <c r="E32" s="70">
        <f t="shared" si="60"/>
        <v>2.1585438324968126E-3</v>
      </c>
      <c r="F32" s="70">
        <f t="shared" si="60"/>
        <v>6.940007232052052E-4</v>
      </c>
      <c r="G32" s="70">
        <f t="shared" si="60"/>
        <v>6.9004574178343331E-4</v>
      </c>
      <c r="H32" s="70">
        <f t="shared" si="60"/>
        <v>1.3725007362323071E-3</v>
      </c>
      <c r="I32" s="70">
        <f t="shared" si="60"/>
        <v>4.1263950625687945E-3</v>
      </c>
      <c r="J32" s="70">
        <f t="shared" si="60"/>
        <v>4.1138824308066171E-3</v>
      </c>
      <c r="K32" s="70">
        <f t="shared" si="60"/>
        <v>4.0930328394354204E-3</v>
      </c>
      <c r="L32" s="70">
        <f t="shared" si="60"/>
        <v>0</v>
      </c>
      <c r="M32" s="70">
        <f t="shared" si="60"/>
        <v>7.3445054749387455E-4</v>
      </c>
      <c r="N32" s="70">
        <f t="shared" si="60"/>
        <v>0</v>
      </c>
      <c r="O32" s="70">
        <f t="shared" si="60"/>
        <v>2.9023622734863199E-3</v>
      </c>
      <c r="P32" s="70">
        <f t="shared" si="60"/>
        <v>0</v>
      </c>
      <c r="Q32" s="70">
        <f t="shared" si="60"/>
        <v>1.444474080645797E-3</v>
      </c>
      <c r="R32" s="70">
        <f t="shared" ref="R32:AB32" si="61">R6/56.08*(11/((R6/56.08)+(R7/79.9*2)+(R10/71.85)+(R9/70.94)+(R8/152.02*3)+(R13/60.09*2)+(R14/101.94*3)+(R15/40.32)+(R11/74.71)+(R5/94.2)+(R12/61.982)))</f>
        <v>0</v>
      </c>
      <c r="S32" s="70">
        <f t="shared" si="61"/>
        <v>0</v>
      </c>
      <c r="T32" s="70">
        <f t="shared" si="61"/>
        <v>2.8965288136029916E-3</v>
      </c>
      <c r="U32" s="70">
        <f t="shared" si="61"/>
        <v>2.1713788758298161E-3</v>
      </c>
      <c r="V32" s="70">
        <f t="shared" si="61"/>
        <v>0</v>
      </c>
      <c r="W32" s="70">
        <f t="shared" si="61"/>
        <v>3.4747567804339794E-3</v>
      </c>
      <c r="X32" s="70">
        <f t="shared" si="61"/>
        <v>2.112186158527389E-3</v>
      </c>
      <c r="Y32" s="70">
        <f t="shared" si="61"/>
        <v>4.2433898811594043E-3</v>
      </c>
      <c r="Z32" s="70">
        <f t="shared" si="61"/>
        <v>1.4077580083890736E-3</v>
      </c>
      <c r="AA32" s="70">
        <f t="shared" si="61"/>
        <v>0</v>
      </c>
      <c r="AB32" s="70">
        <f t="shared" si="61"/>
        <v>7.2225424405191624E-4</v>
      </c>
      <c r="AC32" s="70"/>
      <c r="AD32" s="70">
        <f t="shared" ref="AD32:AS32" si="62">AD6/56.08*(11/((AD6/56.08)+(AD7/79.9*2)+(AD10/71.85)+(AD9/70.94)+(AD8/152.02*3)+(AD13/60.09*2)+(AD14/101.94*3)+(AD15/40.32)+(AD11/74.71)+(AD5/94.2)+(AD12/61.982)))</f>
        <v>8.2897817531525971E-3</v>
      </c>
      <c r="AE32" s="70">
        <f t="shared" si="62"/>
        <v>2.062085326747987E-2</v>
      </c>
      <c r="AF32" s="70">
        <f t="shared" si="62"/>
        <v>3.4413080745936062E-3</v>
      </c>
      <c r="AG32" s="70">
        <f t="shared" si="62"/>
        <v>0</v>
      </c>
      <c r="AH32" s="70">
        <f t="shared" si="62"/>
        <v>6.8201601517470548E-4</v>
      </c>
      <c r="AI32" s="70">
        <f t="shared" si="62"/>
        <v>0</v>
      </c>
      <c r="AJ32" s="70">
        <f t="shared" si="62"/>
        <v>2.1578571434049346E-3</v>
      </c>
      <c r="AK32" s="70">
        <f t="shared" si="62"/>
        <v>1.6196872539388976E-2</v>
      </c>
      <c r="AL32" s="70">
        <f t="shared" si="62"/>
        <v>0</v>
      </c>
      <c r="AM32" s="70">
        <f t="shared" si="62"/>
        <v>0</v>
      </c>
      <c r="AN32" s="70">
        <f t="shared" si="62"/>
        <v>7.1659850903326241E-4</v>
      </c>
      <c r="AO32" s="70">
        <f t="shared" si="62"/>
        <v>1.4438430520591859E-3</v>
      </c>
      <c r="AP32" s="70">
        <f t="shared" si="62"/>
        <v>0</v>
      </c>
      <c r="AQ32" s="70">
        <f t="shared" si="62"/>
        <v>7.1715351421710466E-4</v>
      </c>
      <c r="AR32" s="70">
        <f t="shared" si="62"/>
        <v>2.1551801534051588E-3</v>
      </c>
      <c r="AS32" s="70">
        <f t="shared" si="62"/>
        <v>1.9383267835352599E-2</v>
      </c>
      <c r="AT32" s="70">
        <f t="shared" ref="AT32:BC32" si="63">AT6/56.08*(11/((AT6/56.08)+(AT7/79.9*2)+(AT10/71.85)+(AT9/70.94)+(AT8/152.02*3)+(AT13/60.09*2)+(AT14/101.94*3)+(AT15/40.32)+(AT11/74.71)+(AT5/94.2)+(AT12/61.982)))</f>
        <v>0</v>
      </c>
      <c r="AU32" s="70">
        <f t="shared" si="63"/>
        <v>2.149431114848401E-3</v>
      </c>
      <c r="AV32" s="70">
        <f t="shared" si="63"/>
        <v>1.4419246231395064E-3</v>
      </c>
      <c r="AW32" s="70">
        <f t="shared" si="63"/>
        <v>7.1606007174722581E-4</v>
      </c>
      <c r="AX32" s="70">
        <f t="shared" si="63"/>
        <v>0</v>
      </c>
      <c r="AY32" s="70">
        <f t="shared" si="63"/>
        <v>1.3907155379141796E-3</v>
      </c>
      <c r="AZ32" s="70">
        <f t="shared" si="63"/>
        <v>0</v>
      </c>
      <c r="BA32" s="70">
        <f t="shared" si="63"/>
        <v>1.3467227782111553E-3</v>
      </c>
      <c r="BB32" s="70">
        <f t="shared" si="63"/>
        <v>1.3819971557821858E-3</v>
      </c>
      <c r="BC32" s="70">
        <f t="shared" si="63"/>
        <v>2.7705907810248874E-3</v>
      </c>
      <c r="BD32" s="85"/>
      <c r="BE32" s="70">
        <f>BE6/56.08*(11/((BE6/56.08)+(BE7/79.9*2)+(BE10/71.85)+(BE9/70.94)+(BE8/152.02*3)+(BE13/60.09*2)+(BE14/101.94*3)+(BE15/40.32)+(BE11/74.71)+(BE5/94.2)+(BE12/61.982)))</f>
        <v>0</v>
      </c>
      <c r="BF32" s="70">
        <f>BF6/56.08*(11/((BF6/56.08)+(BF7/79.9*2)+(BF10/71.85)+(BF9/70.94)+(BF8/152.02*3)+(BF13/60.09*2)+(BF14/101.94*3)+(BF15/40.32)+(BF11/74.71)+(BF5/94.2)+(BF12/61.982)))</f>
        <v>0</v>
      </c>
      <c r="BG32" s="70">
        <f>BG6/56.08*(11/((BG6/56.08)+(BG7/79.9*2)+(BG10/71.85)+(BG9/70.94)+(BG8/152.02*3)+(BG13/60.09*2)+(BG14/101.94*3)+(BG15/40.32)+(BG11/74.71)+(BG5/94.2)+(BG12/61.982)))</f>
        <v>2.2189408094257044E-3</v>
      </c>
      <c r="BH32" s="70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1:74" s="50" customFormat="1">
      <c r="A33" s="69" t="s">
        <v>363</v>
      </c>
      <c r="B33" s="5">
        <f t="shared" ref="B33:Q33" si="64">1-(B28+B26-(2-(B21+B22+B23+B24+B25)))</f>
        <v>0.94757734237121216</v>
      </c>
      <c r="C33" s="5">
        <f t="shared" si="64"/>
        <v>0.96544330269011558</v>
      </c>
      <c r="D33" s="5">
        <f t="shared" si="64"/>
        <v>0.96897040546984436</v>
      </c>
      <c r="E33" s="5">
        <f t="shared" si="64"/>
        <v>0.9596807727055513</v>
      </c>
      <c r="F33" s="5">
        <f t="shared" si="64"/>
        <v>0.94251071091438243</v>
      </c>
      <c r="G33" s="5">
        <f t="shared" si="64"/>
        <v>0.95272817895188822</v>
      </c>
      <c r="H33" s="5">
        <f t="shared" si="64"/>
        <v>0.96214218433643972</v>
      </c>
      <c r="I33" s="5">
        <f t="shared" si="64"/>
        <v>0.93235513028629946</v>
      </c>
      <c r="J33" s="5">
        <f t="shared" si="64"/>
        <v>0.94330735340344407</v>
      </c>
      <c r="K33" s="5">
        <f t="shared" si="64"/>
        <v>0.93295896964294334</v>
      </c>
      <c r="L33" s="5">
        <f t="shared" si="64"/>
        <v>0.953913067511723</v>
      </c>
      <c r="M33" s="5">
        <f t="shared" si="64"/>
        <v>0.95883084735224555</v>
      </c>
      <c r="N33" s="5">
        <f t="shared" si="64"/>
        <v>0.96639310964950631</v>
      </c>
      <c r="O33" s="5">
        <f t="shared" si="64"/>
        <v>0.98091155702574895</v>
      </c>
      <c r="P33" s="5">
        <f t="shared" si="64"/>
        <v>0.9780645432405104</v>
      </c>
      <c r="Q33" s="5">
        <f t="shared" si="64"/>
        <v>0.96948637237542623</v>
      </c>
      <c r="R33" s="5">
        <f t="shared" ref="R33:AB33" si="65">1-(R28+R26-(2-(R21+R22+R23+R24+R25)))</f>
        <v>0.97099369798488944</v>
      </c>
      <c r="S33" s="5">
        <f t="shared" si="65"/>
        <v>0.96797422422687096</v>
      </c>
      <c r="T33" s="5">
        <f t="shared" si="65"/>
        <v>0.97257836464047254</v>
      </c>
      <c r="U33" s="5">
        <f t="shared" si="65"/>
        <v>0.96298304108481914</v>
      </c>
      <c r="V33" s="5">
        <f t="shared" si="65"/>
        <v>0.97379115415184658</v>
      </c>
      <c r="W33" s="5">
        <f t="shared" si="65"/>
        <v>0.90894479390224192</v>
      </c>
      <c r="X33" s="5">
        <f t="shared" si="65"/>
        <v>0.94296769391990143</v>
      </c>
      <c r="Y33" s="5">
        <f t="shared" si="65"/>
        <v>0.96774639085423142</v>
      </c>
      <c r="Z33" s="5">
        <f t="shared" si="65"/>
        <v>0.93351700714305297</v>
      </c>
      <c r="AA33" s="5">
        <f t="shared" si="65"/>
        <v>0.94879177960828109</v>
      </c>
      <c r="AB33" s="5">
        <f t="shared" si="65"/>
        <v>0.96927979785544072</v>
      </c>
      <c r="AC33" s="5"/>
      <c r="AD33" s="5">
        <f t="shared" ref="AD33:AS33" si="66">1-(AD28+AD26-(2-(AD21+AD22+AD23+AD24+AD25)))</f>
        <v>0.93575554992069276</v>
      </c>
      <c r="AE33" s="5">
        <f t="shared" si="66"/>
        <v>0.93058494606272035</v>
      </c>
      <c r="AF33" s="5">
        <f t="shared" si="66"/>
        <v>0.95219998021057484</v>
      </c>
      <c r="AG33" s="5">
        <f t="shared" si="66"/>
        <v>0.94681044943420856</v>
      </c>
      <c r="AH33" s="5">
        <f t="shared" si="66"/>
        <v>0.92089851228618302</v>
      </c>
      <c r="AI33" s="5">
        <f t="shared" si="66"/>
        <v>0.96215497165628761</v>
      </c>
      <c r="AJ33" s="5">
        <f t="shared" si="66"/>
        <v>0.94963424421080411</v>
      </c>
      <c r="AK33" s="5">
        <f t="shared" si="66"/>
        <v>0.95827850059660391</v>
      </c>
      <c r="AL33" s="5">
        <f t="shared" si="66"/>
        <v>0.95783351090932745</v>
      </c>
      <c r="AM33" s="5">
        <f t="shared" si="66"/>
        <v>0.95950681037277519</v>
      </c>
      <c r="AN33" s="5">
        <f t="shared" si="66"/>
        <v>0.97098184464539961</v>
      </c>
      <c r="AO33" s="5">
        <f t="shared" si="66"/>
        <v>0.97039220298357287</v>
      </c>
      <c r="AP33" s="5">
        <f t="shared" si="66"/>
        <v>0.96656984565231929</v>
      </c>
      <c r="AQ33" s="5">
        <f t="shared" si="66"/>
        <v>0.95735732591482869</v>
      </c>
      <c r="AR33" s="5">
        <f t="shared" si="66"/>
        <v>0.95757780858818675</v>
      </c>
      <c r="AS33" s="5">
        <f t="shared" si="66"/>
        <v>0.94880626360514153</v>
      </c>
      <c r="AT33" s="5">
        <f t="shared" ref="AT33:BC33" si="67">1-(AT28+AT26-(2-(AT21+AT22+AT23+AT24+AT25)))</f>
        <v>0.95284741659332362</v>
      </c>
      <c r="AU33" s="5">
        <f t="shared" si="67"/>
        <v>0.96469736802677453</v>
      </c>
      <c r="AV33" s="5">
        <f t="shared" si="67"/>
        <v>0.96620362440312446</v>
      </c>
      <c r="AW33" s="5">
        <f t="shared" si="67"/>
        <v>0.97215528956221176</v>
      </c>
      <c r="AX33" s="5">
        <f t="shared" si="67"/>
        <v>0.95572126815094927</v>
      </c>
      <c r="AY33" s="5">
        <f t="shared" si="67"/>
        <v>0.95763819140942585</v>
      </c>
      <c r="AZ33" s="5">
        <f t="shared" si="67"/>
        <v>0.94800940246590271</v>
      </c>
      <c r="BA33" s="5">
        <f t="shared" si="67"/>
        <v>0.93322925679472646</v>
      </c>
      <c r="BB33" s="5">
        <f t="shared" si="67"/>
        <v>0.954924639759134</v>
      </c>
      <c r="BC33" s="5">
        <f t="shared" si="67"/>
        <v>0.94381407345189461</v>
      </c>
      <c r="BD33" s="85"/>
      <c r="BE33" s="5">
        <f>1-(BE28+BE26-(2-(BE21+BE22+BE23+BE24+BE25)))</f>
        <v>0.91411992967944133</v>
      </c>
      <c r="BF33" s="5">
        <f>1-(BF28+BF26-(2-(BF21+BF22+BF23+BF24+BF25)))</f>
        <v>0.93508256544014223</v>
      </c>
      <c r="BG33" s="5">
        <f>1-(BG28+BG26-(2-(BG21+BG22+BG23+BG24+BG25)))</f>
        <v>0.94171465049923619</v>
      </c>
      <c r="BH33" s="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1:74" s="50" customFormat="1">
      <c r="A34" s="5" t="s">
        <v>364</v>
      </c>
      <c r="B34" s="70">
        <f t="shared" ref="B34:Q34" si="68">B12/61.982*(11/((B6/56.08)+(B7/79.9*2)+(B10/71.85)+(B9/70.94)+(B8/152.02*3)+(B13/60.09*2)+(B14/101.94*3)+(B15/40.32)+(B11/74.71)+(B5/94.2)+(B12/61.982)))*2</f>
        <v>6.2291311343960813E-2</v>
      </c>
      <c r="C34" s="70">
        <f t="shared" si="68"/>
        <v>5.5242823355577862E-2</v>
      </c>
      <c r="D34" s="70">
        <f t="shared" si="68"/>
        <v>0.11634385437288022</v>
      </c>
      <c r="E34" s="70">
        <f t="shared" si="68"/>
        <v>0.10546225450657848</v>
      </c>
      <c r="F34" s="70">
        <f t="shared" si="68"/>
        <v>7.6605891839508958E-2</v>
      </c>
      <c r="G34" s="70">
        <f t="shared" si="68"/>
        <v>0.12361907504508661</v>
      </c>
      <c r="H34" s="70">
        <f t="shared" si="68"/>
        <v>8.6926670487456753E-2</v>
      </c>
      <c r="I34" s="70">
        <f t="shared" si="68"/>
        <v>0.14560551723476914</v>
      </c>
      <c r="J34" s="70">
        <f t="shared" si="68"/>
        <v>7.5683790616080687E-2</v>
      </c>
      <c r="K34" s="70">
        <f t="shared" si="68"/>
        <v>7.7769076737541645E-2</v>
      </c>
      <c r="L34" s="70">
        <f t="shared" si="68"/>
        <v>7.6379853182840574E-2</v>
      </c>
      <c r="M34" s="70">
        <f t="shared" si="68"/>
        <v>7.043862073773656E-2</v>
      </c>
      <c r="N34" s="70">
        <f t="shared" si="68"/>
        <v>5.5474605408255849E-2</v>
      </c>
      <c r="O34" s="70">
        <f t="shared" si="68"/>
        <v>7.3527884487740947E-2</v>
      </c>
      <c r="P34" s="70">
        <f t="shared" si="68"/>
        <v>6.2558517119533252E-2</v>
      </c>
      <c r="Q34" s="70">
        <f t="shared" si="68"/>
        <v>4.8356392797534807E-2</v>
      </c>
      <c r="R34" s="70">
        <f t="shared" ref="R34:AB34" si="69">R12/61.982*(11/((R6/56.08)+(R7/79.9*2)+(R10/71.85)+(R9/70.94)+(R8/152.02*3)+(R13/60.09*2)+(R14/101.94*3)+(R15/40.32)+(R11/74.71)+(R5/94.2)+(R12/61.982)))*2</f>
        <v>7.2806866598801576E-2</v>
      </c>
      <c r="S34" s="70">
        <f t="shared" si="69"/>
        <v>8.178532489321598E-2</v>
      </c>
      <c r="T34" s="70">
        <f t="shared" si="69"/>
        <v>0.21096778963702187</v>
      </c>
      <c r="U34" s="70">
        <f t="shared" si="69"/>
        <v>0.18598379835681458</v>
      </c>
      <c r="V34" s="70">
        <f t="shared" si="69"/>
        <v>0.18992033657136978</v>
      </c>
      <c r="W34" s="70">
        <f t="shared" si="69"/>
        <v>8.6771261701945018E-2</v>
      </c>
      <c r="X34" s="70">
        <f t="shared" si="69"/>
        <v>0.11211559463262459</v>
      </c>
      <c r="Y34" s="70">
        <f t="shared" si="69"/>
        <v>0.14333495804140434</v>
      </c>
      <c r="Z34" s="70">
        <f t="shared" si="69"/>
        <v>5.2222094051963944E-2</v>
      </c>
      <c r="AA34" s="70">
        <f t="shared" si="69"/>
        <v>0.11319334197025661</v>
      </c>
      <c r="AB34" s="70">
        <f t="shared" si="69"/>
        <v>9.9329010631757322E-2</v>
      </c>
      <c r="AC34" s="70"/>
      <c r="AD34" s="70">
        <f t="shared" ref="AD34:AS34" si="70">AD12/61.982*(11/((AD6/56.08)+(AD7/79.9*2)+(AD10/71.85)+(AD9/70.94)+(AD8/152.02*3)+(AD13/60.09*2)+(AD14/101.94*3)+(AD15/40.32)+(AD11/74.71)+(AD5/94.2)+(AD12/61.982)))*2</f>
        <v>0.12000670148541129</v>
      </c>
      <c r="AE34" s="70">
        <f t="shared" si="70"/>
        <v>5.9703395243278175E-2</v>
      </c>
      <c r="AF34" s="70">
        <f t="shared" si="70"/>
        <v>0.14820843639741813</v>
      </c>
      <c r="AG34" s="70">
        <f t="shared" si="70"/>
        <v>0.12342873483719384</v>
      </c>
      <c r="AH34" s="70">
        <f t="shared" si="70"/>
        <v>0.11847813818772412</v>
      </c>
      <c r="AI34" s="70">
        <f t="shared" si="70"/>
        <v>0.1333340391276725</v>
      </c>
      <c r="AJ34" s="70">
        <f t="shared" si="70"/>
        <v>0.16530179549409926</v>
      </c>
      <c r="AK34" s="70">
        <f t="shared" si="70"/>
        <v>0.16438623688665918</v>
      </c>
      <c r="AL34" s="70">
        <f t="shared" si="70"/>
        <v>0.12758249497413468</v>
      </c>
      <c r="AM34" s="70">
        <f t="shared" si="70"/>
        <v>0.15844897178599832</v>
      </c>
      <c r="AN34" s="70">
        <f t="shared" si="70"/>
        <v>0.17505804885899209</v>
      </c>
      <c r="AO34" s="70">
        <f t="shared" si="70"/>
        <v>0.14500580390923473</v>
      </c>
      <c r="AP34" s="70">
        <f t="shared" si="70"/>
        <v>0.14718335223840531</v>
      </c>
      <c r="AQ34" s="70">
        <f t="shared" si="70"/>
        <v>0.13626171317853567</v>
      </c>
      <c r="AR34" s="70">
        <f t="shared" si="70"/>
        <v>0.17549651947769546</v>
      </c>
      <c r="AS34" s="70">
        <f t="shared" si="70"/>
        <v>0.15848766911445258</v>
      </c>
      <c r="AT34" s="70">
        <f t="shared" ref="AT34:BC34" si="71">AT12/61.982*(11/((AT6/56.08)+(AT7/79.9*2)+(AT10/71.85)+(AT9/70.94)+(AT8/152.02*3)+(AT13/60.09*2)+(AT14/101.94*3)+(AT15/40.32)+(AT11/74.71)+(AT5/94.2)+(AT12/61.982)))*2</f>
        <v>0.15320402294947816</v>
      </c>
      <c r="AU34" s="70">
        <f t="shared" si="71"/>
        <v>0.13872619330896843</v>
      </c>
      <c r="AV34" s="70">
        <f t="shared" si="71"/>
        <v>0.11741605559532957</v>
      </c>
      <c r="AW34" s="70">
        <f t="shared" si="71"/>
        <v>0.11532192395531005</v>
      </c>
      <c r="AX34" s="70">
        <f t="shared" si="71"/>
        <v>0.15956043920027979</v>
      </c>
      <c r="AY34" s="70">
        <f t="shared" si="71"/>
        <v>0.15351137328062531</v>
      </c>
      <c r="AZ34" s="70">
        <f t="shared" si="71"/>
        <v>0.13793772806099069</v>
      </c>
      <c r="BA34" s="70">
        <f t="shared" si="71"/>
        <v>0.12184862282934011</v>
      </c>
      <c r="BB34" s="70">
        <f t="shared" si="71"/>
        <v>0.17505624325573707</v>
      </c>
      <c r="BC34" s="70">
        <f t="shared" si="71"/>
        <v>0.10152425874439297</v>
      </c>
      <c r="BD34" s="85"/>
      <c r="BE34" s="70">
        <f>BE12/61.982*(11/((BE6/56.08)+(BE7/79.9*2)+(BE10/71.85)+(BE9/70.94)+(BE8/152.02*3)+(BE13/60.09*2)+(BE14/101.94*3)+(BE15/40.32)+(BE11/74.71)+(BE5/94.2)+(BE12/61.982)))*2</f>
        <v>0.12139685363225217</v>
      </c>
      <c r="BF34" s="70">
        <f>BF12/61.982*(11/((BF6/56.08)+(BF7/79.9*2)+(BF10/71.85)+(BF9/70.94)+(BF8/152.02*3)+(BF13/60.09*2)+(BF14/101.94*3)+(BF15/40.32)+(BF11/74.71)+(BF5/94.2)+(BF12/61.982)))*2</f>
        <v>0.15201574254421182</v>
      </c>
      <c r="BG34" s="70">
        <f>BG12/61.982*(11/((BG6/56.08)+(BG7/79.9*2)+(BG10/71.85)+(BG9/70.94)+(BG8/152.02*3)+(BG13/60.09*2)+(BG14/101.94*3)+(BG15/40.32)+(BG11/74.71)+(BG5/94.2)+(BG12/61.982)))*2</f>
        <v>0.12848963953931761</v>
      </c>
      <c r="BH34" s="70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1:74" s="50" customFormat="1">
      <c r="A35" s="5" t="s">
        <v>365</v>
      </c>
      <c r="B35" s="70">
        <f t="shared" ref="B35:Q35" si="72">B5/94.2*(11/((B6/56.08)+(B7/79.9*2)+(B10/71.85)+(B9/70.94)+(B8/152.02*3)+(B13/60.09*2)+(B14/101.94*3)+(B15/40.32)+(B11/74.71)+(B5/94.2)+(B12/61.982)))*2</f>
        <v>0.82229416080849438</v>
      </c>
      <c r="C35" s="70">
        <f t="shared" si="72"/>
        <v>0.86112131580206741</v>
      </c>
      <c r="D35" s="70">
        <f t="shared" si="72"/>
        <v>0.83782217622243016</v>
      </c>
      <c r="E35" s="70">
        <f t="shared" si="72"/>
        <v>0.82928168228149857</v>
      </c>
      <c r="F35" s="70">
        <f t="shared" si="72"/>
        <v>0.84036503369050564</v>
      </c>
      <c r="G35" s="70">
        <f t="shared" si="72"/>
        <v>0.8076412567054837</v>
      </c>
      <c r="H35" s="70">
        <f t="shared" si="72"/>
        <v>0.81136998300310426</v>
      </c>
      <c r="I35" s="70">
        <f t="shared" si="72"/>
        <v>0.77381734670159508</v>
      </c>
      <c r="J35" s="70">
        <f t="shared" si="72"/>
        <v>0.80004386477438916</v>
      </c>
      <c r="K35" s="70">
        <f t="shared" si="72"/>
        <v>0.75131629693160995</v>
      </c>
      <c r="L35" s="70">
        <f t="shared" si="72"/>
        <v>0.82387944380265632</v>
      </c>
      <c r="M35" s="70">
        <f t="shared" si="72"/>
        <v>0.9042118524707855</v>
      </c>
      <c r="N35" s="70">
        <f t="shared" si="72"/>
        <v>0.90731922456797909</v>
      </c>
      <c r="O35" s="70">
        <f t="shared" si="72"/>
        <v>0.91922188312169872</v>
      </c>
      <c r="P35" s="70">
        <f t="shared" si="72"/>
        <v>0.90119473423180518</v>
      </c>
      <c r="Q35" s="70">
        <f t="shared" si="72"/>
        <v>0.88487562133176378</v>
      </c>
      <c r="R35" s="70">
        <f t="shared" ref="R35:AB35" si="73">R5/94.2*(11/((R6/56.08)+(R7/79.9*2)+(R10/71.85)+(R9/70.94)+(R8/152.02*3)+(R13/60.09*2)+(R14/101.94*3)+(R15/40.32)+(R11/74.71)+(R5/94.2)+(R12/61.982)))*2</f>
        <v>0.91107896255185428</v>
      </c>
      <c r="S35" s="70">
        <f t="shared" si="73"/>
        <v>0.88097669297381742</v>
      </c>
      <c r="T35" s="70">
        <f t="shared" si="73"/>
        <v>0.79321841293793671</v>
      </c>
      <c r="U35" s="70">
        <f t="shared" si="73"/>
        <v>0.78078174228607</v>
      </c>
      <c r="V35" s="70">
        <f t="shared" si="73"/>
        <v>0.80272242338730715</v>
      </c>
      <c r="W35" s="70">
        <f t="shared" si="73"/>
        <v>0.73146536924890015</v>
      </c>
      <c r="X35" s="70">
        <f t="shared" si="73"/>
        <v>0.84584191343346005</v>
      </c>
      <c r="Y35" s="70">
        <f t="shared" si="73"/>
        <v>0.83954492789035073</v>
      </c>
      <c r="Z35" s="70">
        <f t="shared" si="73"/>
        <v>0.84981239997882885</v>
      </c>
      <c r="AA35" s="70">
        <f t="shared" si="73"/>
        <v>0.86806904093863047</v>
      </c>
      <c r="AB35" s="70">
        <f t="shared" si="73"/>
        <v>0.88145686744357221</v>
      </c>
      <c r="AC35" s="70"/>
      <c r="AD35" s="70">
        <f t="shared" ref="AD35:AS35" si="74">AD5/94.2*(11/((AD6/56.08)+(AD7/79.9*2)+(AD10/71.85)+(AD9/70.94)+(AD8/152.02*3)+(AD13/60.09*2)+(AD14/101.94*3)+(AD15/40.32)+(AD11/74.71)+(AD5/94.2)+(AD12/61.982)))*2</f>
        <v>0.78962371247014462</v>
      </c>
      <c r="AE35" s="70">
        <f t="shared" si="74"/>
        <v>0.74066368957710227</v>
      </c>
      <c r="AF35" s="70">
        <f t="shared" si="74"/>
        <v>0.71459032505239339</v>
      </c>
      <c r="AG35" s="70">
        <f t="shared" si="74"/>
        <v>0.77768568174951669</v>
      </c>
      <c r="AH35" s="70">
        <f t="shared" si="74"/>
        <v>0.7048576148132869</v>
      </c>
      <c r="AI35" s="70">
        <f t="shared" si="74"/>
        <v>0.82024724588487352</v>
      </c>
      <c r="AJ35" s="70">
        <f t="shared" si="74"/>
        <v>0.77677603780714011</v>
      </c>
      <c r="AK35" s="70">
        <f t="shared" si="74"/>
        <v>0.77307449854355859</v>
      </c>
      <c r="AL35" s="70">
        <f t="shared" si="74"/>
        <v>0.83518813081152177</v>
      </c>
      <c r="AM35" s="70">
        <f t="shared" si="74"/>
        <v>0.81439889955844547</v>
      </c>
      <c r="AN35" s="70">
        <f t="shared" si="74"/>
        <v>0.80544333547636038</v>
      </c>
      <c r="AO35" s="70">
        <f t="shared" si="74"/>
        <v>0.82603885714925118</v>
      </c>
      <c r="AP35" s="70">
        <f t="shared" si="74"/>
        <v>0.84245836605296054</v>
      </c>
      <c r="AQ35" s="70">
        <f t="shared" si="74"/>
        <v>0.81289822848375914</v>
      </c>
      <c r="AR35" s="70">
        <f t="shared" si="74"/>
        <v>0.78864280091104266</v>
      </c>
      <c r="AS35" s="70">
        <f t="shared" si="74"/>
        <v>0.8154525688740043</v>
      </c>
      <c r="AT35" s="70">
        <f t="shared" ref="AT35:BC35" si="75">AT5/94.2*(11/((AT6/56.08)+(AT7/79.9*2)+(AT10/71.85)+(AT9/70.94)+(AT8/152.02*3)+(AT13/60.09*2)+(AT14/101.94*3)+(AT15/40.32)+(AT11/74.71)+(AT5/94.2)+(AT12/61.982)))*2</f>
        <v>0.81075309281740404</v>
      </c>
      <c r="AU35" s="70">
        <f t="shared" si="75"/>
        <v>0.81724991401294389</v>
      </c>
      <c r="AV35" s="70">
        <f t="shared" si="75"/>
        <v>0.84640179411405758</v>
      </c>
      <c r="AW35" s="70">
        <f t="shared" si="75"/>
        <v>0.85087761201565304</v>
      </c>
      <c r="AX35" s="70">
        <f t="shared" si="75"/>
        <v>0.78279096669392312</v>
      </c>
      <c r="AY35" s="70">
        <f t="shared" si="75"/>
        <v>0.78984847460064478</v>
      </c>
      <c r="AZ35" s="70">
        <f t="shared" si="75"/>
        <v>0.72275479014657951</v>
      </c>
      <c r="BA35" s="70">
        <f t="shared" si="75"/>
        <v>0.72076717461222239</v>
      </c>
      <c r="BB35" s="70">
        <f t="shared" si="75"/>
        <v>0.76350560149186719</v>
      </c>
      <c r="BC35" s="70">
        <f t="shared" si="75"/>
        <v>0.81151133388470087</v>
      </c>
      <c r="BD35" s="85"/>
      <c r="BE35" s="70">
        <f>BE5/94.2*(11/((BE6/56.08)+(BE7/79.9*2)+(BE10/71.85)+(BE9/70.94)+(BE8/152.02*3)+(BE13/60.09*2)+(BE14/101.94*3)+(BE15/40.32)+(BE11/74.71)+(BE5/94.2)+(BE12/61.982)))*2</f>
        <v>0.74233579265534555</v>
      </c>
      <c r="BF35" s="70">
        <f>BF5/94.2*(11/((BF6/56.08)+(BF7/79.9*2)+(BF10/71.85)+(BF9/70.94)+(BF8/152.02*3)+(BF13/60.09*2)+(BF14/101.94*3)+(BF15/40.32)+(BF11/74.71)+(BF5/94.2)+(BF12/61.982)))*2</f>
        <v>0.78888317707176514</v>
      </c>
      <c r="BG35" s="70">
        <f>BG5/94.2*(11/((BG6/56.08)+(BG7/79.9*2)+(BG10/71.85)+(BG9/70.94)+(BG8/152.02*3)+(BG13/60.09*2)+(BG14/101.94*3)+(BG15/40.32)+(BG11/74.71)+(BG5/94.2)+(BG12/61.982)))*2</f>
        <v>0.77850933704071223</v>
      </c>
      <c r="BH35" s="70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</row>
    <row r="36" spans="1:74" s="50" customFormat="1">
      <c r="A36" s="88" t="s">
        <v>366</v>
      </c>
      <c r="B36" s="70">
        <f t="shared" ref="B36:Q36" si="76">B18/4</f>
        <v>0.86188868813207375</v>
      </c>
      <c r="C36" s="70">
        <f t="shared" si="76"/>
        <v>0.86015994633483128</v>
      </c>
      <c r="D36" s="70">
        <f t="shared" si="76"/>
        <v>0.83754933637143369</v>
      </c>
      <c r="E36" s="70">
        <f t="shared" si="76"/>
        <v>0.83400185029686125</v>
      </c>
      <c r="F36" s="70">
        <f t="shared" si="76"/>
        <v>0.83697457364341532</v>
      </c>
      <c r="G36" s="70">
        <f t="shared" si="76"/>
        <v>0.82157886425192972</v>
      </c>
      <c r="H36" s="70">
        <f t="shared" si="76"/>
        <v>0.84764174525333624</v>
      </c>
      <c r="I36" s="70">
        <f t="shared" si="76"/>
        <v>0.81786193927847739</v>
      </c>
      <c r="J36" s="70">
        <f t="shared" si="76"/>
        <v>0.85553510352291584</v>
      </c>
      <c r="K36" s="70">
        <f t="shared" si="76"/>
        <v>0.85199497184434247</v>
      </c>
      <c r="L36" s="70">
        <f t="shared" si="76"/>
        <v>0.84435303307638432</v>
      </c>
      <c r="M36" s="70">
        <f t="shared" si="76"/>
        <v>0.83400703646914087</v>
      </c>
      <c r="N36" s="70">
        <f t="shared" si="76"/>
        <v>0.85917077641133655</v>
      </c>
      <c r="O36" s="70">
        <f t="shared" si="76"/>
        <v>0.85441869682094396</v>
      </c>
      <c r="P36" s="70">
        <f t="shared" si="76"/>
        <v>0.86083419518967097</v>
      </c>
      <c r="Q36" s="70">
        <f t="shared" si="76"/>
        <v>0.86142289926496585</v>
      </c>
      <c r="R36" s="70">
        <f t="shared" ref="R36:AB36" si="77">R18/4</f>
        <v>0.83360191015724416</v>
      </c>
      <c r="S36" s="70">
        <f t="shared" si="77"/>
        <v>0.84972719568585431</v>
      </c>
      <c r="T36" s="70">
        <f t="shared" si="77"/>
        <v>0.80066414406830322</v>
      </c>
      <c r="U36" s="70">
        <f t="shared" si="77"/>
        <v>0.80738171033948936</v>
      </c>
      <c r="V36" s="70">
        <f t="shared" si="77"/>
        <v>0.80859843254502484</v>
      </c>
      <c r="W36" s="70">
        <f t="shared" si="77"/>
        <v>0.82320382507296275</v>
      </c>
      <c r="X36" s="70">
        <f t="shared" si="77"/>
        <v>0.81313367291086847</v>
      </c>
      <c r="Y36" s="70">
        <f t="shared" si="77"/>
        <v>0.81497919447248313</v>
      </c>
      <c r="Z36" s="70">
        <f t="shared" si="77"/>
        <v>0.81916288218291455</v>
      </c>
      <c r="AA36" s="70">
        <f t="shared" si="77"/>
        <v>0.80773949017642455</v>
      </c>
      <c r="AB36" s="70">
        <f t="shared" si="77"/>
        <v>0.82504440073010665</v>
      </c>
      <c r="AC36" s="70"/>
      <c r="AD36" s="70">
        <f t="shared" ref="AD36:AS36" si="78">AD18/4</f>
        <v>0.81427481470199625</v>
      </c>
      <c r="AE36" s="70">
        <f t="shared" si="78"/>
        <v>0.84468446159684196</v>
      </c>
      <c r="AF36" s="70">
        <f t="shared" si="78"/>
        <v>0.82684147036337607</v>
      </c>
      <c r="AG36" s="70">
        <f t="shared" si="78"/>
        <v>0.83445996710629367</v>
      </c>
      <c r="AH36" s="70">
        <f t="shared" si="78"/>
        <v>0.82379385398641192</v>
      </c>
      <c r="AI36" s="70">
        <f t="shared" si="78"/>
        <v>0.83237029630887849</v>
      </c>
      <c r="AJ36" s="70">
        <f t="shared" si="78"/>
        <v>0.81561182532651422</v>
      </c>
      <c r="AK36" s="70">
        <f t="shared" si="78"/>
        <v>0.82217911221803242</v>
      </c>
      <c r="AL36" s="70">
        <f t="shared" si="78"/>
        <v>0.83357585217657182</v>
      </c>
      <c r="AM36" s="70">
        <f t="shared" si="78"/>
        <v>0.81601736494822796</v>
      </c>
      <c r="AN36" s="70">
        <f t="shared" si="78"/>
        <v>0.81373511245428076</v>
      </c>
      <c r="AO36" s="70">
        <f t="shared" si="78"/>
        <v>0.81607407732500514</v>
      </c>
      <c r="AP36" s="70">
        <f t="shared" si="78"/>
        <v>0.81081337255901498</v>
      </c>
      <c r="AQ36" s="70">
        <f t="shared" si="78"/>
        <v>0.82574337409074705</v>
      </c>
      <c r="AR36" s="70">
        <f t="shared" si="78"/>
        <v>0.81527044794808301</v>
      </c>
      <c r="AS36" s="70">
        <f t="shared" si="78"/>
        <v>0.80901425312613651</v>
      </c>
      <c r="AT36" s="70">
        <f t="shared" ref="AT36:BC36" si="79">AT18/4</f>
        <v>0.81647707401145841</v>
      </c>
      <c r="AU36" s="70">
        <f t="shared" si="79"/>
        <v>0.82496446760920594</v>
      </c>
      <c r="AV36" s="70">
        <f t="shared" si="79"/>
        <v>0.83298850464046792</v>
      </c>
      <c r="AW36" s="70">
        <f t="shared" si="79"/>
        <v>0.84286192925188641</v>
      </c>
      <c r="AX36" s="70">
        <f t="shared" si="79"/>
        <v>0.82522606031875312</v>
      </c>
      <c r="AY36" s="70">
        <f t="shared" si="79"/>
        <v>0.81687122085403963</v>
      </c>
      <c r="AZ36" s="70">
        <f t="shared" si="79"/>
        <v>0.82741535437458569</v>
      </c>
      <c r="BA36" s="70">
        <f t="shared" si="79"/>
        <v>0.82779389335906117</v>
      </c>
      <c r="BB36" s="70">
        <f t="shared" si="79"/>
        <v>0.81690935121187924</v>
      </c>
      <c r="BC36" s="70">
        <f t="shared" si="79"/>
        <v>0.81934378241946415</v>
      </c>
      <c r="BD36" s="85"/>
      <c r="BE36" s="70">
        <f>BE18/4</f>
        <v>0.82974712017132024</v>
      </c>
      <c r="BF36" s="70">
        <f>BF18/4</f>
        <v>0.82252941339106145</v>
      </c>
      <c r="BG36" s="70">
        <f>BG18/4</f>
        <v>0.82834548572204025</v>
      </c>
      <c r="BH36" s="70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1:74" s="50" customFormat="1">
      <c r="A37" s="88" t="s">
        <v>367</v>
      </c>
      <c r="B37" s="70">
        <f t="shared" ref="B37:Q37" si="80">B21/2</f>
        <v>0.75822828249467689</v>
      </c>
      <c r="C37" s="70">
        <f t="shared" si="80"/>
        <v>0.76917579721228524</v>
      </c>
      <c r="D37" s="70">
        <f t="shared" si="80"/>
        <v>0.79121699834513914</v>
      </c>
      <c r="E37" s="70">
        <f t="shared" si="80"/>
        <v>0.79689600958774975</v>
      </c>
      <c r="F37" s="70">
        <f t="shared" si="80"/>
        <v>0.79220883801149222</v>
      </c>
      <c r="G37" s="70">
        <f t="shared" si="80"/>
        <v>0.82033812758925806</v>
      </c>
      <c r="H37" s="70">
        <f t="shared" si="80"/>
        <v>0.79803465002196905</v>
      </c>
      <c r="I37" s="70">
        <f t="shared" si="80"/>
        <v>0.80782300936468809</v>
      </c>
      <c r="J37" s="70">
        <f t="shared" si="80"/>
        <v>0.7773957433685188</v>
      </c>
      <c r="K37" s="70">
        <f t="shared" si="80"/>
        <v>0.79418319977271956</v>
      </c>
      <c r="L37" s="70">
        <f t="shared" si="80"/>
        <v>0.79453024545451822</v>
      </c>
      <c r="M37" s="70">
        <f t="shared" si="80"/>
        <v>0.76821897575868592</v>
      </c>
      <c r="N37" s="70">
        <f t="shared" si="80"/>
        <v>0.74308833251589146</v>
      </c>
      <c r="O37" s="70">
        <f t="shared" si="80"/>
        <v>0.74427748466285792</v>
      </c>
      <c r="P37" s="70">
        <f t="shared" si="80"/>
        <v>0.74705149939766047</v>
      </c>
      <c r="Q37" s="70">
        <f t="shared" si="80"/>
        <v>0.74197794991952737</v>
      </c>
      <c r="R37" s="70">
        <f t="shared" ref="R37:AB37" si="81">R21/2</f>
        <v>0.77351003430788023</v>
      </c>
      <c r="S37" s="70">
        <f t="shared" si="81"/>
        <v>0.75094970611623757</v>
      </c>
      <c r="T37" s="70">
        <f t="shared" si="81"/>
        <v>0.8282926653926288</v>
      </c>
      <c r="U37" s="70">
        <f t="shared" si="81"/>
        <v>0.82442948996534526</v>
      </c>
      <c r="V37" s="70">
        <f t="shared" si="81"/>
        <v>0.81606420266765056</v>
      </c>
      <c r="W37" s="70">
        <f t="shared" si="81"/>
        <v>0.81895815608421119</v>
      </c>
      <c r="X37" s="70">
        <f t="shared" si="81"/>
        <v>0.79404895038390144</v>
      </c>
      <c r="Y37" s="70">
        <f t="shared" si="81"/>
        <v>0.80338625906272321</v>
      </c>
      <c r="Z37" s="70">
        <f t="shared" si="81"/>
        <v>0.81083765992434698</v>
      </c>
      <c r="AA37" s="70">
        <f t="shared" si="81"/>
        <v>0.80685144435947365</v>
      </c>
      <c r="AB37" s="70">
        <f t="shared" si="81"/>
        <v>0.79400745792986394</v>
      </c>
      <c r="AC37" s="70"/>
      <c r="AD37" s="70">
        <f t="shared" ref="AD37:AS37" si="82">AD21/2</f>
        <v>0.8169235373902477</v>
      </c>
      <c r="AE37" s="70">
        <f t="shared" si="82"/>
        <v>0.79768739470805028</v>
      </c>
      <c r="AF37" s="70">
        <f t="shared" si="82"/>
        <v>0.84069319311200164</v>
      </c>
      <c r="AG37" s="70">
        <f t="shared" si="82"/>
        <v>0.80903812647354667</v>
      </c>
      <c r="AH37" s="70">
        <f t="shared" si="82"/>
        <v>0.83733353623840179</v>
      </c>
      <c r="AI37" s="70">
        <f t="shared" si="82"/>
        <v>0.80405434496051087</v>
      </c>
      <c r="AJ37" s="70">
        <f t="shared" si="82"/>
        <v>0.82148585337117441</v>
      </c>
      <c r="AK37" s="70">
        <f t="shared" si="82"/>
        <v>0.80773941109438385</v>
      </c>
      <c r="AL37" s="70">
        <f t="shared" si="82"/>
        <v>0.78721460228968931</v>
      </c>
      <c r="AM37" s="70">
        <f t="shared" si="82"/>
        <v>0.81299957140544721</v>
      </c>
      <c r="AN37" s="70">
        <f t="shared" si="82"/>
        <v>0.83141983013351406</v>
      </c>
      <c r="AO37" s="70">
        <f t="shared" si="82"/>
        <v>0.83074354413847451</v>
      </c>
      <c r="AP37" s="70">
        <f t="shared" si="82"/>
        <v>0.8222324549036153</v>
      </c>
      <c r="AQ37" s="70">
        <f t="shared" si="82"/>
        <v>0.80350234270476339</v>
      </c>
      <c r="AR37" s="70">
        <f t="shared" si="82"/>
        <v>0.81102711808518402</v>
      </c>
      <c r="AS37" s="70">
        <f t="shared" si="82"/>
        <v>0.8024412570205226</v>
      </c>
      <c r="AT37" s="70">
        <f t="shared" ref="AT37:BC37" si="83">AT21/2</f>
        <v>0.81367277637008506</v>
      </c>
      <c r="AU37" s="70">
        <f t="shared" si="83"/>
        <v>0.80795262481690644</v>
      </c>
      <c r="AV37" s="70">
        <f t="shared" si="83"/>
        <v>0.79714070818652916</v>
      </c>
      <c r="AW37" s="70">
        <f t="shared" si="83"/>
        <v>0.78240926486888007</v>
      </c>
      <c r="AX37" s="70">
        <f t="shared" si="83"/>
        <v>0.81426360003294351</v>
      </c>
      <c r="AY37" s="70">
        <f t="shared" si="83"/>
        <v>0.82801811385523094</v>
      </c>
      <c r="AZ37" s="70">
        <f t="shared" si="83"/>
        <v>0.84516197352142242</v>
      </c>
      <c r="BA37" s="70">
        <f t="shared" si="83"/>
        <v>0.82986557995237109</v>
      </c>
      <c r="BB37" s="70">
        <f t="shared" si="83"/>
        <v>0.82440884542111914</v>
      </c>
      <c r="BC37" s="70">
        <f t="shared" si="83"/>
        <v>0.82411720026322977</v>
      </c>
      <c r="BD37" s="85"/>
      <c r="BE37" s="70">
        <f>BE21/2</f>
        <v>0.80759550065399344</v>
      </c>
      <c r="BF37" s="70">
        <f>BF21/2</f>
        <v>0.80122843095413576</v>
      </c>
      <c r="BG37" s="70">
        <f>BG21/2</f>
        <v>0.80903216586637083</v>
      </c>
      <c r="BH37" s="70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1:74" s="50" customFormat="1">
      <c r="A38" s="88" t="s">
        <v>368</v>
      </c>
      <c r="B38" s="70">
        <f t="shared" ref="B38:Q38" si="84">B29/2</f>
        <v>0.21595298108095617</v>
      </c>
      <c r="C38" s="70">
        <f t="shared" si="84"/>
        <v>0.19764617063420345</v>
      </c>
      <c r="D38" s="70">
        <f t="shared" si="84"/>
        <v>0.16046803381985608</v>
      </c>
      <c r="E38" s="70">
        <f t="shared" si="84"/>
        <v>0.1696277109162401</v>
      </c>
      <c r="F38" s="70">
        <f t="shared" si="84"/>
        <v>0.17953963947586088</v>
      </c>
      <c r="G38" s="70">
        <f t="shared" si="84"/>
        <v>0.1569217413212213</v>
      </c>
      <c r="H38" s="70">
        <f t="shared" si="84"/>
        <v>0.18039806551853388</v>
      </c>
      <c r="I38" s="70">
        <f t="shared" si="84"/>
        <v>0.16404808333816609</v>
      </c>
      <c r="J38" s="70">
        <f t="shared" si="84"/>
        <v>0.20217337824306647</v>
      </c>
      <c r="K38" s="70">
        <f t="shared" si="84"/>
        <v>0.19071177913667001</v>
      </c>
      <c r="L38" s="70">
        <f t="shared" si="84"/>
        <v>0.17997229606102819</v>
      </c>
      <c r="M38" s="70">
        <f t="shared" si="84"/>
        <v>0.17519195733241039</v>
      </c>
      <c r="N38" s="70">
        <f t="shared" si="84"/>
        <v>0.21065806905648021</v>
      </c>
      <c r="O38" s="70">
        <f t="shared" si="84"/>
        <v>0.19124422283173909</v>
      </c>
      <c r="P38" s="70">
        <f t="shared" si="84"/>
        <v>0.18773261210499093</v>
      </c>
      <c r="Q38" s="70">
        <f t="shared" si="84"/>
        <v>0.19387622201667834</v>
      </c>
      <c r="R38" s="70">
        <f t="shared" ref="R38:AB38" si="85">R29/2</f>
        <v>0.16635753429465441</v>
      </c>
      <c r="S38" s="70">
        <f t="shared" si="85"/>
        <v>0.18554525397190028</v>
      </c>
      <c r="T38" s="70">
        <f t="shared" si="85"/>
        <v>0.12740775661679843</v>
      </c>
      <c r="U38" s="70">
        <f t="shared" si="85"/>
        <v>0.12684471599639174</v>
      </c>
      <c r="V38" s="70">
        <f t="shared" si="85"/>
        <v>0.13127856299146587</v>
      </c>
      <c r="W38" s="70">
        <f t="shared" si="85"/>
        <v>0.14837142508866177</v>
      </c>
      <c r="X38" s="70">
        <f t="shared" si="85"/>
        <v>0.14639950616441211</v>
      </c>
      <c r="Y38" s="70">
        <f t="shared" si="85"/>
        <v>0.13623821378205847</v>
      </c>
      <c r="Z38" s="70">
        <f t="shared" si="85"/>
        <v>0.14782995331943632</v>
      </c>
      <c r="AA38" s="70">
        <f t="shared" si="85"/>
        <v>0.13550520937828697</v>
      </c>
      <c r="AB38" s="70">
        <f t="shared" si="85"/>
        <v>0.14716861701245559</v>
      </c>
      <c r="AC38" s="70"/>
      <c r="AD38" s="70">
        <f t="shared" ref="AD38:AS38" si="86">AD29/2</f>
        <v>0.16334214476243303</v>
      </c>
      <c r="AE38" s="70">
        <f t="shared" si="86"/>
        <v>0.17638807850019014</v>
      </c>
      <c r="AF38" s="70">
        <f t="shared" si="86"/>
        <v>0.13641304239735785</v>
      </c>
      <c r="AG38" s="70">
        <f t="shared" si="86"/>
        <v>0.17153359134994936</v>
      </c>
      <c r="AH38" s="70">
        <f t="shared" si="86"/>
        <v>0.15509571935560734</v>
      </c>
      <c r="AI38" s="70">
        <f t="shared" si="86"/>
        <v>0.16666088695929032</v>
      </c>
      <c r="AJ38" s="70">
        <f t="shared" si="86"/>
        <v>0.14856461100710225</v>
      </c>
      <c r="AK38" s="70">
        <f t="shared" si="86"/>
        <v>0.15328693903057941</v>
      </c>
      <c r="AL38" s="70">
        <f t="shared" si="86"/>
        <v>0.18261773441756049</v>
      </c>
      <c r="AM38" s="70">
        <f t="shared" si="86"/>
        <v>0.1522349976630665</v>
      </c>
      <c r="AN38" s="70">
        <f t="shared" si="86"/>
        <v>0.13455416647294205</v>
      </c>
      <c r="AO38" s="70">
        <f t="shared" si="86"/>
        <v>0.13957006264840774</v>
      </c>
      <c r="AP38" s="70">
        <f t="shared" si="86"/>
        <v>0.14266261410132872</v>
      </c>
      <c r="AQ38" s="70">
        <f t="shared" si="86"/>
        <v>0.16557993221307063</v>
      </c>
      <c r="AR38" s="70">
        <f t="shared" si="86"/>
        <v>0.15087828995905386</v>
      </c>
      <c r="AS38" s="70">
        <f t="shared" si="86"/>
        <v>0.15376993650041554</v>
      </c>
      <c r="AT38" s="70">
        <f t="shared" ref="AT38:BC38" si="87">AT29/2</f>
        <v>0.14946029254664622</v>
      </c>
      <c r="AU38" s="70">
        <f t="shared" si="87"/>
        <v>0.15496019404074557</v>
      </c>
      <c r="AV38" s="70">
        <f t="shared" si="87"/>
        <v>0.16996901067373471</v>
      </c>
      <c r="AW38" s="70">
        <f t="shared" si="87"/>
        <v>0.1812626509397908</v>
      </c>
      <c r="AX38" s="70">
        <f t="shared" si="87"/>
        <v>0.15943499113672205</v>
      </c>
      <c r="AY38" s="70">
        <f t="shared" si="87"/>
        <v>0.14749103947606207</v>
      </c>
      <c r="AZ38" s="70">
        <f t="shared" si="87"/>
        <v>0.14006645250125038</v>
      </c>
      <c r="BA38" s="70">
        <f t="shared" si="87"/>
        <v>0.15078618995207263</v>
      </c>
      <c r="BB38" s="70">
        <f t="shared" si="87"/>
        <v>0.14752751086528612</v>
      </c>
      <c r="BC38" s="70">
        <f t="shared" si="87"/>
        <v>0.147879595786712</v>
      </c>
      <c r="BD38" s="85"/>
      <c r="BE38" s="70">
        <f>BE29/2</f>
        <v>0.17393973114332276</v>
      </c>
      <c r="BF38" s="70">
        <f>BF29/2</f>
        <v>0.16408856542568331</v>
      </c>
      <c r="BG38" s="70">
        <f>BG29/2</f>
        <v>0.15945701960856476</v>
      </c>
      <c r="BH38" s="70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</row>
    <row r="39" spans="1:74" s="50" customFormat="1">
      <c r="A39" s="88" t="s">
        <v>369</v>
      </c>
      <c r="B39" s="70">
        <f t="shared" ref="B39:Q39" si="88">(B27)/2</f>
        <v>4.114171514577844E-2</v>
      </c>
      <c r="C39" s="70">
        <f t="shared" si="88"/>
        <v>4.2833379913596405E-2</v>
      </c>
      <c r="D39" s="70">
        <f t="shared" si="88"/>
        <v>4.9067330147151311E-2</v>
      </c>
      <c r="E39" s="70">
        <f t="shared" si="88"/>
        <v>3.9873026244379071E-2</v>
      </c>
      <c r="F39" s="70">
        <f t="shared" si="88"/>
        <v>4.6855142494232345E-2</v>
      </c>
      <c r="G39" s="70">
        <f t="shared" si="88"/>
        <v>3.3392643595703909E-2</v>
      </c>
      <c r="H39" s="70">
        <f t="shared" si="88"/>
        <v>3.0530834748856952E-2</v>
      </c>
      <c r="I39" s="70">
        <f t="shared" si="88"/>
        <v>4.7237125236788455E-2</v>
      </c>
      <c r="J39" s="70">
        <f t="shared" si="88"/>
        <v>4.1207150446327771E-2</v>
      </c>
      <c r="K39" s="70">
        <f t="shared" si="88"/>
        <v>3.8069857659338888E-2</v>
      </c>
      <c r="L39" s="70">
        <f t="shared" si="88"/>
        <v>3.5915295753743783E-2</v>
      </c>
      <c r="M39" s="70">
        <f t="shared" si="88"/>
        <v>5.9904587481018824E-2</v>
      </c>
      <c r="N39" s="70">
        <f t="shared" si="88"/>
        <v>5.1273888941463085E-2</v>
      </c>
      <c r="O39" s="70">
        <f t="shared" si="88"/>
        <v>5.8615599501569852E-2</v>
      </c>
      <c r="P39" s="70">
        <f t="shared" si="88"/>
        <v>5.8559529283302519E-2</v>
      </c>
      <c r="Q39" s="70">
        <f t="shared" si="88"/>
        <v>6.0035840891709359E-2</v>
      </c>
      <c r="R39" s="70">
        <f t="shared" ref="R39:AB39" si="89">(R27)/2</f>
        <v>5.1958889568286162E-2</v>
      </c>
      <c r="S39" s="70">
        <f t="shared" si="89"/>
        <v>5.7750872984087404E-2</v>
      </c>
      <c r="T39" s="70">
        <f t="shared" si="89"/>
        <v>3.1933575074729818E-2</v>
      </c>
      <c r="U39" s="70">
        <f t="shared" si="89"/>
        <v>3.7002995786838848E-2</v>
      </c>
      <c r="V39" s="70">
        <f t="shared" si="89"/>
        <v>3.2710383917525995E-2</v>
      </c>
      <c r="W39" s="70">
        <f t="shared" si="89"/>
        <v>5.9666192420712971E-2</v>
      </c>
      <c r="X39" s="70">
        <f t="shared" si="89"/>
        <v>6.6768012396572693E-2</v>
      </c>
      <c r="Y39" s="70">
        <f t="shared" si="89"/>
        <v>5.6304497941574529E-2</v>
      </c>
      <c r="Z39" s="70">
        <f t="shared" si="89"/>
        <v>5.7960443918952331E-2</v>
      </c>
      <c r="AA39" s="70">
        <f t="shared" si="89"/>
        <v>6.0047402415156721E-2</v>
      </c>
      <c r="AB39" s="70">
        <f t="shared" si="89"/>
        <v>5.3272508025160384E-2</v>
      </c>
      <c r="AC39" s="70"/>
      <c r="AD39" s="70">
        <f t="shared" ref="AD39:AS39" si="90">(AD27)/2</f>
        <v>3.8013004790691529E-2</v>
      </c>
      <c r="AE39" s="70">
        <f t="shared" si="90"/>
        <v>3.2189768997641512E-2</v>
      </c>
      <c r="AF39" s="70">
        <f t="shared" si="90"/>
        <v>3.4649302477653472E-2</v>
      </c>
      <c r="AG39" s="70">
        <f t="shared" si="90"/>
        <v>3.5223393974221764E-2</v>
      </c>
      <c r="AH39" s="70">
        <f t="shared" si="90"/>
        <v>3.2737907794799515E-2</v>
      </c>
      <c r="AI39" s="70">
        <f t="shared" si="90"/>
        <v>3.9922586466182568E-2</v>
      </c>
      <c r="AJ39" s="70">
        <f t="shared" si="90"/>
        <v>4.0141048225718554E-2</v>
      </c>
      <c r="AK39" s="70">
        <f t="shared" si="90"/>
        <v>4.8094189919083666E-2</v>
      </c>
      <c r="AL39" s="70">
        <f t="shared" si="90"/>
        <v>3.874564753955876E-2</v>
      </c>
      <c r="AM39" s="70">
        <f t="shared" si="90"/>
        <v>3.9493673290861092E-2</v>
      </c>
      <c r="AN39" s="70">
        <f t="shared" si="90"/>
        <v>3.6075872831381431E-2</v>
      </c>
      <c r="AO39" s="70">
        <f t="shared" si="90"/>
        <v>3.4089968411610917E-2</v>
      </c>
      <c r="AP39" s="70">
        <f t="shared" si="90"/>
        <v>3.4551283100492769E-2</v>
      </c>
      <c r="AQ39" s="70">
        <f t="shared" si="90"/>
        <v>3.5264190005144046E-2</v>
      </c>
      <c r="AR39" s="70">
        <f t="shared" si="90"/>
        <v>3.896981655627841E-2</v>
      </c>
      <c r="AS39" s="70">
        <f t="shared" si="90"/>
        <v>5.6313241501461712E-2</v>
      </c>
      <c r="AT39" s="70">
        <f t="shared" ref="AT39:BC39" si="91">(AT27)/2</f>
        <v>4.574863538038168E-2</v>
      </c>
      <c r="AU39" s="70">
        <f t="shared" si="91"/>
        <v>3.8586252319778164E-2</v>
      </c>
      <c r="AV39" s="70">
        <f t="shared" si="91"/>
        <v>3.9109170035933297E-2</v>
      </c>
      <c r="AW39" s="70">
        <f t="shared" si="91"/>
        <v>3.7166557366295962E-2</v>
      </c>
      <c r="AX39" s="70">
        <f t="shared" si="91"/>
        <v>3.8265626856204098E-2</v>
      </c>
      <c r="AY39" s="70">
        <f t="shared" si="91"/>
        <v>3.2564228545397582E-2</v>
      </c>
      <c r="AZ39" s="70">
        <f t="shared" si="91"/>
        <v>3.1931642198614919E-2</v>
      </c>
      <c r="BA39" s="70">
        <f t="shared" si="91"/>
        <v>3.862929495513568E-2</v>
      </c>
      <c r="BB39" s="70">
        <f t="shared" si="91"/>
        <v>3.5326424721679586E-2</v>
      </c>
      <c r="BC39" s="70">
        <f t="shared" si="91"/>
        <v>4.352006209286706E-2</v>
      </c>
      <c r="BD39" s="85"/>
      <c r="BE39" s="70">
        <f>(BE27)/2</f>
        <v>5.1508274352969646E-2</v>
      </c>
      <c r="BF39" s="70">
        <f>(BF27)/2</f>
        <v>4.8748993918434624E-2</v>
      </c>
      <c r="BG39" s="70">
        <f>(BG27)/2</f>
        <v>4.8782314776498033E-2</v>
      </c>
      <c r="BH39" s="70"/>
      <c r="BI39" s="85"/>
      <c r="BJ39" s="85"/>
      <c r="BK39" s="85"/>
      <c r="BL39" s="85"/>
    </row>
    <row r="40" spans="1:74" s="50" customFormat="1">
      <c r="A40" s="88" t="s">
        <v>370</v>
      </c>
      <c r="B40" s="70">
        <f t="shared" ref="B40:AB40" si="92">B33</f>
        <v>0.94757734237121216</v>
      </c>
      <c r="C40" s="70">
        <f t="shared" si="92"/>
        <v>0.96544330269011558</v>
      </c>
      <c r="D40" s="70">
        <f t="shared" si="92"/>
        <v>0.96897040546984436</v>
      </c>
      <c r="E40" s="70">
        <f t="shared" si="92"/>
        <v>0.9596807727055513</v>
      </c>
      <c r="F40" s="70">
        <f t="shared" si="92"/>
        <v>0.94251071091438243</v>
      </c>
      <c r="G40" s="70">
        <f t="shared" si="92"/>
        <v>0.95272817895188822</v>
      </c>
      <c r="H40" s="70">
        <f t="shared" si="92"/>
        <v>0.96214218433643972</v>
      </c>
      <c r="I40" s="70">
        <f t="shared" si="92"/>
        <v>0.93235513028629946</v>
      </c>
      <c r="J40" s="70">
        <f t="shared" si="92"/>
        <v>0.94330735340344407</v>
      </c>
      <c r="K40" s="70">
        <f t="shared" si="92"/>
        <v>0.93295896964294334</v>
      </c>
      <c r="L40" s="70">
        <f t="shared" si="92"/>
        <v>0.953913067511723</v>
      </c>
      <c r="M40" s="70">
        <f t="shared" si="92"/>
        <v>0.95883084735224555</v>
      </c>
      <c r="N40" s="70">
        <f t="shared" si="92"/>
        <v>0.96639310964950631</v>
      </c>
      <c r="O40" s="70">
        <f t="shared" si="92"/>
        <v>0.98091155702574895</v>
      </c>
      <c r="P40" s="70">
        <f t="shared" si="92"/>
        <v>0.9780645432405104</v>
      </c>
      <c r="Q40" s="70">
        <f t="shared" si="92"/>
        <v>0.96948637237542623</v>
      </c>
      <c r="R40" s="70">
        <f t="shared" si="92"/>
        <v>0.97099369798488944</v>
      </c>
      <c r="S40" s="70">
        <f t="shared" si="92"/>
        <v>0.96797422422687096</v>
      </c>
      <c r="T40" s="70">
        <f t="shared" si="92"/>
        <v>0.97257836464047254</v>
      </c>
      <c r="U40" s="70">
        <f t="shared" si="92"/>
        <v>0.96298304108481914</v>
      </c>
      <c r="V40" s="70">
        <f t="shared" si="92"/>
        <v>0.97379115415184658</v>
      </c>
      <c r="W40" s="70">
        <f t="shared" si="92"/>
        <v>0.90894479390224192</v>
      </c>
      <c r="X40" s="70">
        <f t="shared" si="92"/>
        <v>0.94296769391990143</v>
      </c>
      <c r="Y40" s="70">
        <f t="shared" si="92"/>
        <v>0.96774639085423142</v>
      </c>
      <c r="Z40" s="70">
        <f t="shared" si="92"/>
        <v>0.93351700714305297</v>
      </c>
      <c r="AA40" s="70">
        <f t="shared" si="92"/>
        <v>0.94879177960828109</v>
      </c>
      <c r="AB40" s="70">
        <f t="shared" si="92"/>
        <v>0.96927979785544072</v>
      </c>
      <c r="AC40" s="70"/>
      <c r="AD40" s="70">
        <f t="shared" ref="AD40:BC40" si="93">AD33</f>
        <v>0.93575554992069276</v>
      </c>
      <c r="AE40" s="70">
        <f t="shared" si="93"/>
        <v>0.93058494606272035</v>
      </c>
      <c r="AF40" s="70">
        <f t="shared" si="93"/>
        <v>0.95219998021057484</v>
      </c>
      <c r="AG40" s="70">
        <f t="shared" si="93"/>
        <v>0.94681044943420856</v>
      </c>
      <c r="AH40" s="70">
        <f t="shared" si="93"/>
        <v>0.92089851228618302</v>
      </c>
      <c r="AI40" s="70">
        <f t="shared" si="93"/>
        <v>0.96215497165628761</v>
      </c>
      <c r="AJ40" s="70">
        <f t="shared" si="93"/>
        <v>0.94963424421080411</v>
      </c>
      <c r="AK40" s="70">
        <f t="shared" si="93"/>
        <v>0.95827850059660391</v>
      </c>
      <c r="AL40" s="70">
        <f t="shared" si="93"/>
        <v>0.95783351090932745</v>
      </c>
      <c r="AM40" s="70">
        <f t="shared" si="93"/>
        <v>0.95950681037277519</v>
      </c>
      <c r="AN40" s="70">
        <f t="shared" si="93"/>
        <v>0.97098184464539961</v>
      </c>
      <c r="AO40" s="70">
        <f t="shared" si="93"/>
        <v>0.97039220298357287</v>
      </c>
      <c r="AP40" s="70">
        <f t="shared" si="93"/>
        <v>0.96656984565231929</v>
      </c>
      <c r="AQ40" s="70">
        <f t="shared" si="93"/>
        <v>0.95735732591482869</v>
      </c>
      <c r="AR40" s="70">
        <f t="shared" si="93"/>
        <v>0.95757780858818675</v>
      </c>
      <c r="AS40" s="70">
        <f t="shared" si="93"/>
        <v>0.94880626360514153</v>
      </c>
      <c r="AT40" s="70">
        <f t="shared" si="93"/>
        <v>0.95284741659332362</v>
      </c>
      <c r="AU40" s="70">
        <f t="shared" si="93"/>
        <v>0.96469736802677453</v>
      </c>
      <c r="AV40" s="70">
        <f t="shared" si="93"/>
        <v>0.96620362440312446</v>
      </c>
      <c r="AW40" s="70">
        <f t="shared" si="93"/>
        <v>0.97215528956221176</v>
      </c>
      <c r="AX40" s="70">
        <f t="shared" si="93"/>
        <v>0.95572126815094927</v>
      </c>
      <c r="AY40" s="70">
        <f t="shared" si="93"/>
        <v>0.95763819140942585</v>
      </c>
      <c r="AZ40" s="70">
        <f t="shared" si="93"/>
        <v>0.94800940246590271</v>
      </c>
      <c r="BA40" s="70">
        <f t="shared" si="93"/>
        <v>0.93322925679472646</v>
      </c>
      <c r="BB40" s="70">
        <f t="shared" si="93"/>
        <v>0.954924639759134</v>
      </c>
      <c r="BC40" s="70">
        <f t="shared" si="93"/>
        <v>0.94381407345189461</v>
      </c>
      <c r="BD40" s="85"/>
      <c r="BE40" s="70">
        <f>BE33</f>
        <v>0.91411992967944133</v>
      </c>
      <c r="BF40" s="70">
        <f>BF33</f>
        <v>0.93508256544014223</v>
      </c>
      <c r="BG40" s="70">
        <f>BG33</f>
        <v>0.94171465049923619</v>
      </c>
      <c r="BH40" s="70"/>
      <c r="BI40" s="85"/>
      <c r="BJ40" s="85"/>
      <c r="BK40" s="85"/>
      <c r="BL40" s="85"/>
    </row>
    <row r="41" spans="1:74" s="50" customFormat="1">
      <c r="A41" s="88" t="s">
        <v>371</v>
      </c>
      <c r="B41" s="70">
        <f t="shared" ref="B41:AB41" si="94">B35</f>
        <v>0.82229416080849438</v>
      </c>
      <c r="C41" s="70">
        <f t="shared" si="94"/>
        <v>0.86112131580206741</v>
      </c>
      <c r="D41" s="70">
        <f t="shared" si="94"/>
        <v>0.83782217622243016</v>
      </c>
      <c r="E41" s="70">
        <f t="shared" si="94"/>
        <v>0.82928168228149857</v>
      </c>
      <c r="F41" s="70">
        <f t="shared" si="94"/>
        <v>0.84036503369050564</v>
      </c>
      <c r="G41" s="70">
        <f t="shared" si="94"/>
        <v>0.8076412567054837</v>
      </c>
      <c r="H41" s="70">
        <f t="shared" si="94"/>
        <v>0.81136998300310426</v>
      </c>
      <c r="I41" s="70">
        <f t="shared" si="94"/>
        <v>0.77381734670159508</v>
      </c>
      <c r="J41" s="70">
        <f t="shared" si="94"/>
        <v>0.80004386477438916</v>
      </c>
      <c r="K41" s="70">
        <f t="shared" si="94"/>
        <v>0.75131629693160995</v>
      </c>
      <c r="L41" s="70">
        <f t="shared" si="94"/>
        <v>0.82387944380265632</v>
      </c>
      <c r="M41" s="70">
        <f t="shared" si="94"/>
        <v>0.9042118524707855</v>
      </c>
      <c r="N41" s="70">
        <f t="shared" si="94"/>
        <v>0.90731922456797909</v>
      </c>
      <c r="O41" s="70">
        <f t="shared" si="94"/>
        <v>0.91922188312169872</v>
      </c>
      <c r="P41" s="70">
        <f t="shared" si="94"/>
        <v>0.90119473423180518</v>
      </c>
      <c r="Q41" s="70">
        <f t="shared" si="94"/>
        <v>0.88487562133176378</v>
      </c>
      <c r="R41" s="70">
        <f t="shared" si="94"/>
        <v>0.91107896255185428</v>
      </c>
      <c r="S41" s="70">
        <f t="shared" si="94"/>
        <v>0.88097669297381742</v>
      </c>
      <c r="T41" s="70">
        <f t="shared" si="94"/>
        <v>0.79321841293793671</v>
      </c>
      <c r="U41" s="70">
        <f t="shared" si="94"/>
        <v>0.78078174228607</v>
      </c>
      <c r="V41" s="70">
        <f t="shared" si="94"/>
        <v>0.80272242338730715</v>
      </c>
      <c r="W41" s="70">
        <f t="shared" si="94"/>
        <v>0.73146536924890015</v>
      </c>
      <c r="X41" s="70">
        <f t="shared" si="94"/>
        <v>0.84584191343346005</v>
      </c>
      <c r="Y41" s="70">
        <f t="shared" si="94"/>
        <v>0.83954492789035073</v>
      </c>
      <c r="Z41" s="70">
        <f t="shared" si="94"/>
        <v>0.84981239997882885</v>
      </c>
      <c r="AA41" s="70">
        <f t="shared" si="94"/>
        <v>0.86806904093863047</v>
      </c>
      <c r="AB41" s="70">
        <f t="shared" si="94"/>
        <v>0.88145686744357221</v>
      </c>
      <c r="AC41" s="70"/>
      <c r="AD41" s="70">
        <f t="shared" ref="AD41:BC41" si="95">AD35</f>
        <v>0.78962371247014462</v>
      </c>
      <c r="AE41" s="70">
        <f t="shared" si="95"/>
        <v>0.74066368957710227</v>
      </c>
      <c r="AF41" s="70">
        <f t="shared" si="95"/>
        <v>0.71459032505239339</v>
      </c>
      <c r="AG41" s="70">
        <f t="shared" si="95"/>
        <v>0.77768568174951669</v>
      </c>
      <c r="AH41" s="70">
        <f t="shared" si="95"/>
        <v>0.7048576148132869</v>
      </c>
      <c r="AI41" s="70">
        <f t="shared" si="95"/>
        <v>0.82024724588487352</v>
      </c>
      <c r="AJ41" s="70">
        <f t="shared" si="95"/>
        <v>0.77677603780714011</v>
      </c>
      <c r="AK41" s="70">
        <f t="shared" si="95"/>
        <v>0.77307449854355859</v>
      </c>
      <c r="AL41" s="70">
        <f t="shared" si="95"/>
        <v>0.83518813081152177</v>
      </c>
      <c r="AM41" s="70">
        <f t="shared" si="95"/>
        <v>0.81439889955844547</v>
      </c>
      <c r="AN41" s="70">
        <f t="shared" si="95"/>
        <v>0.80544333547636038</v>
      </c>
      <c r="AO41" s="70">
        <f t="shared" si="95"/>
        <v>0.82603885714925118</v>
      </c>
      <c r="AP41" s="70">
        <f t="shared" si="95"/>
        <v>0.84245836605296054</v>
      </c>
      <c r="AQ41" s="70">
        <f t="shared" si="95"/>
        <v>0.81289822848375914</v>
      </c>
      <c r="AR41" s="70">
        <f t="shared" si="95"/>
        <v>0.78864280091104266</v>
      </c>
      <c r="AS41" s="70">
        <f t="shared" si="95"/>
        <v>0.8154525688740043</v>
      </c>
      <c r="AT41" s="70">
        <f t="shared" si="95"/>
        <v>0.81075309281740404</v>
      </c>
      <c r="AU41" s="70">
        <f t="shared" si="95"/>
        <v>0.81724991401294389</v>
      </c>
      <c r="AV41" s="70">
        <f t="shared" si="95"/>
        <v>0.84640179411405758</v>
      </c>
      <c r="AW41" s="70">
        <f t="shared" si="95"/>
        <v>0.85087761201565304</v>
      </c>
      <c r="AX41" s="70">
        <f t="shared" si="95"/>
        <v>0.78279096669392312</v>
      </c>
      <c r="AY41" s="70">
        <f t="shared" si="95"/>
        <v>0.78984847460064478</v>
      </c>
      <c r="AZ41" s="70">
        <f t="shared" si="95"/>
        <v>0.72275479014657951</v>
      </c>
      <c r="BA41" s="70">
        <f t="shared" si="95"/>
        <v>0.72076717461222239</v>
      </c>
      <c r="BB41" s="70">
        <f t="shared" si="95"/>
        <v>0.76350560149186719</v>
      </c>
      <c r="BC41" s="70">
        <f t="shared" si="95"/>
        <v>0.81151133388470087</v>
      </c>
      <c r="BD41" s="85"/>
      <c r="BE41" s="70">
        <f>BE35</f>
        <v>0.74233579265534555</v>
      </c>
      <c r="BF41" s="70">
        <f>BF35</f>
        <v>0.78888317707176514</v>
      </c>
      <c r="BG41" s="70">
        <f>BG35</f>
        <v>0.77850933704071223</v>
      </c>
      <c r="BH41" s="70"/>
      <c r="BI41" s="85"/>
      <c r="BJ41" s="85"/>
      <c r="BK41" s="85"/>
      <c r="BL41" s="85"/>
    </row>
    <row r="42" spans="1:74" s="50" customFormat="1">
      <c r="A42" s="88" t="s">
        <v>372</v>
      </c>
      <c r="B42" s="70">
        <f t="shared" ref="B42:Q42" si="96">4*(B41)*(B40)*(B37)*(B38)*(B36)^4</f>
        <v>0.28162147720772379</v>
      </c>
      <c r="C42" s="70">
        <f t="shared" si="96"/>
        <v>0.27674640137683693</v>
      </c>
      <c r="D42" s="70">
        <f t="shared" si="96"/>
        <v>0.2028841367568649</v>
      </c>
      <c r="E42" s="70">
        <f t="shared" si="96"/>
        <v>0.20818784405840179</v>
      </c>
      <c r="F42" s="70">
        <f t="shared" si="96"/>
        <v>0.22113798632209816</v>
      </c>
      <c r="G42" s="70">
        <f t="shared" si="96"/>
        <v>0.18051801376670887</v>
      </c>
      <c r="H42" s="70">
        <f t="shared" si="96"/>
        <v>0.23207115143222645</v>
      </c>
      <c r="I42" s="70">
        <f t="shared" si="96"/>
        <v>0.17111464826360259</v>
      </c>
      <c r="J42" s="70">
        <f t="shared" si="96"/>
        <v>0.25418181237837056</v>
      </c>
      <c r="K42" s="70">
        <f t="shared" si="96"/>
        <v>0.22376475663083942</v>
      </c>
      <c r="L42" s="70">
        <f t="shared" si="96"/>
        <v>0.22847822665737125</v>
      </c>
      <c r="M42" s="70">
        <f t="shared" si="96"/>
        <v>0.22581367504552174</v>
      </c>
      <c r="N42" s="70">
        <f t="shared" si="96"/>
        <v>0.29916477538157582</v>
      </c>
      <c r="O42" s="70">
        <f t="shared" si="96"/>
        <v>0.27360017844336765</v>
      </c>
      <c r="P42" s="70">
        <f t="shared" si="96"/>
        <v>0.27152789810675981</v>
      </c>
      <c r="Q42" s="70">
        <f t="shared" si="96"/>
        <v>0.27180981037224072</v>
      </c>
      <c r="R42" s="70">
        <f t="shared" ref="R42:AB42" si="97">4*(R41)*(R40)*(R37)*(R38)*(R36)^4</f>
        <v>0.21987489866299956</v>
      </c>
      <c r="S42" s="70">
        <f t="shared" si="97"/>
        <v>0.24778041582426505</v>
      </c>
      <c r="T42" s="70">
        <f t="shared" si="97"/>
        <v>0.13383157442952345</v>
      </c>
      <c r="U42" s="70">
        <f t="shared" si="97"/>
        <v>0.13364410485896741</v>
      </c>
      <c r="V42" s="70">
        <f t="shared" si="97"/>
        <v>0.14319931269564018</v>
      </c>
      <c r="W42" s="70">
        <f t="shared" si="97"/>
        <v>0.14839961247623742</v>
      </c>
      <c r="X42" s="70">
        <f t="shared" si="97"/>
        <v>0.1621364572715295</v>
      </c>
      <c r="Y42" s="70">
        <f t="shared" si="97"/>
        <v>0.15691877945717228</v>
      </c>
      <c r="Z42" s="70">
        <f t="shared" si="97"/>
        <v>0.17127055397598417</v>
      </c>
      <c r="AA42" s="70">
        <f t="shared" si="97"/>
        <v>0.15332748372127009</v>
      </c>
      <c r="AB42" s="70">
        <f t="shared" si="97"/>
        <v>0.18503730457564987</v>
      </c>
      <c r="AC42" s="70"/>
      <c r="AD42" s="70">
        <f t="shared" ref="AD42:AS42" si="98">4*(AD41)*(AD40)*(AD37)*(AD38)*(AD36)^4</f>
        <v>0.17338289783065522</v>
      </c>
      <c r="AE42" s="70">
        <f t="shared" si="98"/>
        <v>0.19747723944461351</v>
      </c>
      <c r="AF42" s="70">
        <f t="shared" si="98"/>
        <v>0.14589073755743354</v>
      </c>
      <c r="AG42" s="70">
        <f t="shared" si="98"/>
        <v>0.19818342577929957</v>
      </c>
      <c r="AH42" s="70">
        <f t="shared" si="98"/>
        <v>0.15529077085007101</v>
      </c>
      <c r="AI42" s="70">
        <f t="shared" si="98"/>
        <v>0.20306505228271832</v>
      </c>
      <c r="AJ42" s="70">
        <f t="shared" si="98"/>
        <v>0.15935353162587079</v>
      </c>
      <c r="AK42" s="70">
        <f t="shared" si="98"/>
        <v>0.16765451954493585</v>
      </c>
      <c r="AL42" s="70">
        <f t="shared" si="98"/>
        <v>0.22210121001244873</v>
      </c>
      <c r="AM42" s="70">
        <f t="shared" si="98"/>
        <v>0.17153298901888589</v>
      </c>
      <c r="AN42" s="70">
        <f t="shared" si="98"/>
        <v>0.15344609705105219</v>
      </c>
      <c r="AO42" s="70">
        <f t="shared" si="98"/>
        <v>0.1648865935784353</v>
      </c>
      <c r="AP42" s="70">
        <f t="shared" si="98"/>
        <v>0.1651315604521825</v>
      </c>
      <c r="AQ42" s="70">
        <f t="shared" si="98"/>
        <v>0.19255086381686465</v>
      </c>
      <c r="AR42" s="70">
        <f t="shared" si="98"/>
        <v>0.16329892938919036</v>
      </c>
      <c r="AS42" s="70">
        <f t="shared" si="98"/>
        <v>0.16358580530684222</v>
      </c>
      <c r="AT42" s="70">
        <f t="shared" ref="AT42:BC42" si="99">4*(AT41)*(AT40)*(AT37)*(AT38)*(AT36)^4</f>
        <v>0.16700272531087204</v>
      </c>
      <c r="AU42" s="70">
        <f t="shared" si="99"/>
        <v>0.18287443162574529</v>
      </c>
      <c r="AV42" s="70">
        <f t="shared" si="99"/>
        <v>0.21338603614528706</v>
      </c>
      <c r="AW42" s="70">
        <f t="shared" si="99"/>
        <v>0.23682677166900373</v>
      </c>
      <c r="AX42" s="70">
        <f t="shared" si="99"/>
        <v>0.18016791295891701</v>
      </c>
      <c r="AY42" s="70">
        <f t="shared" si="99"/>
        <v>0.16452242027290009</v>
      </c>
      <c r="AZ42" s="70">
        <f t="shared" si="99"/>
        <v>0.15206595580251928</v>
      </c>
      <c r="BA42" s="70">
        <f t="shared" si="99"/>
        <v>0.15808895516183361</v>
      </c>
      <c r="BB42" s="70">
        <f t="shared" si="99"/>
        <v>0.15796193538358574</v>
      </c>
      <c r="BC42" s="70">
        <f t="shared" si="99"/>
        <v>0.16826853472663955</v>
      </c>
      <c r="BD42" s="85"/>
      <c r="BE42" s="70">
        <f>4*(BE41)*(BE40)*(BE37)*(BE38)*(BE36)^4</f>
        <v>0.18073375434772082</v>
      </c>
      <c r="BF42" s="70">
        <f>4*(BF41)*(BF40)*(BF37)*(BF38)*(BF36)^4</f>
        <v>0.17756732981112122</v>
      </c>
      <c r="BG42" s="70">
        <f>4*(BG41)*(BG40)*(BG37)*(BG38)*(BG36)^4</f>
        <v>0.17811422861014733</v>
      </c>
      <c r="BH42" s="70"/>
      <c r="BI42" s="85"/>
      <c r="BJ42" s="85"/>
      <c r="BK42" s="85"/>
      <c r="BL42" s="85"/>
    </row>
    <row r="43" spans="1:74" s="50" customFormat="1">
      <c r="A43" s="88" t="s">
        <v>373</v>
      </c>
      <c r="B43" s="70">
        <f t="shared" ref="B43:Q43" si="100">4*(B41)*(B40)*(B37)*(B39)*(B36)^4</f>
        <v>5.3652376254394084E-2</v>
      </c>
      <c r="C43" s="70">
        <f t="shared" si="100"/>
        <v>5.9975782540374285E-2</v>
      </c>
      <c r="D43" s="70">
        <f t="shared" si="100"/>
        <v>6.2037171409755704E-2</v>
      </c>
      <c r="E43" s="70">
        <f t="shared" si="100"/>
        <v>4.8937047638403341E-2</v>
      </c>
      <c r="F43" s="70">
        <f t="shared" si="100"/>
        <v>5.7711221267115281E-2</v>
      </c>
      <c r="G43" s="70">
        <f t="shared" si="100"/>
        <v>3.8413884816487748E-2</v>
      </c>
      <c r="H43" s="70">
        <f t="shared" si="100"/>
        <v>3.9276064041974583E-2</v>
      </c>
      <c r="I43" s="70">
        <f t="shared" si="100"/>
        <v>4.9271920191927568E-2</v>
      </c>
      <c r="J43" s="70">
        <f t="shared" si="100"/>
        <v>5.1807553864995491E-2</v>
      </c>
      <c r="K43" s="70">
        <f t="shared" si="100"/>
        <v>4.466788822733337E-2</v>
      </c>
      <c r="L43" s="70">
        <f t="shared" si="100"/>
        <v>4.5595145826821067E-2</v>
      </c>
      <c r="M43" s="70">
        <f t="shared" si="100"/>
        <v>7.7214018595089237E-2</v>
      </c>
      <c r="N43" s="70">
        <f t="shared" si="100"/>
        <v>7.2816301491873944E-2</v>
      </c>
      <c r="O43" s="70">
        <f t="shared" si="100"/>
        <v>8.3857374856778827E-2</v>
      </c>
      <c r="P43" s="70">
        <f t="shared" si="100"/>
        <v>8.4697835512584682E-2</v>
      </c>
      <c r="Q43" s="70">
        <f t="shared" si="100"/>
        <v>8.4168808111547283E-2</v>
      </c>
      <c r="R43" s="70">
        <f t="shared" ref="R43:AB43" si="101">4*(R41)*(R40)*(R37)*(R39)*(R36)^4</f>
        <v>6.8674109813588444E-2</v>
      </c>
      <c r="S43" s="70">
        <f t="shared" si="101"/>
        <v>7.7121537823751543E-2</v>
      </c>
      <c r="T43" s="70">
        <f t="shared" si="101"/>
        <v>3.3543645558947066E-2</v>
      </c>
      <c r="U43" s="70">
        <f t="shared" si="101"/>
        <v>3.8986505745914508E-2</v>
      </c>
      <c r="V43" s="70">
        <f t="shared" si="101"/>
        <v>3.5680650277263831E-2</v>
      </c>
      <c r="W43" s="70">
        <f t="shared" si="101"/>
        <v>5.9677527717182099E-2</v>
      </c>
      <c r="X43" s="70">
        <f t="shared" si="101"/>
        <v>7.3945119574955309E-2</v>
      </c>
      <c r="Y43" s="70">
        <f t="shared" si="101"/>
        <v>6.4851357410443955E-2</v>
      </c>
      <c r="Z43" s="70">
        <f t="shared" si="101"/>
        <v>6.7150919795276445E-2</v>
      </c>
      <c r="AA43" s="70">
        <f t="shared" si="101"/>
        <v>6.7945115605199669E-2</v>
      </c>
      <c r="AB43" s="70">
        <f t="shared" si="101"/>
        <v>6.6980321573084256E-2</v>
      </c>
      <c r="AC43" s="70"/>
      <c r="AD43" s="70">
        <f t="shared" ref="AD43:AS43" si="102">4*(AD41)*(AD40)*(AD37)*(AD39)*(AD36)^4</f>
        <v>4.0349690127103634E-2</v>
      </c>
      <c r="AE43" s="70">
        <f t="shared" si="102"/>
        <v>3.6038414693695967E-2</v>
      </c>
      <c r="AF43" s="70">
        <f t="shared" si="102"/>
        <v>3.7056664124466329E-2</v>
      </c>
      <c r="AG43" s="70">
        <f t="shared" si="102"/>
        <v>4.0695777605120775E-2</v>
      </c>
      <c r="AH43" s="70">
        <f t="shared" si="102"/>
        <v>3.2779079645754008E-2</v>
      </c>
      <c r="AI43" s="70">
        <f t="shared" si="102"/>
        <v>4.8642979501224821E-2</v>
      </c>
      <c r="AJ43" s="70">
        <f t="shared" si="102"/>
        <v>4.3056133991606189E-2</v>
      </c>
      <c r="AK43" s="70">
        <f t="shared" si="102"/>
        <v>5.2602056997030446E-2</v>
      </c>
      <c r="AL43" s="70">
        <f t="shared" si="102"/>
        <v>4.7122779333004135E-2</v>
      </c>
      <c r="AM43" s="70">
        <f t="shared" si="102"/>
        <v>4.450006851847764E-2</v>
      </c>
      <c r="AN43" s="70">
        <f t="shared" si="102"/>
        <v>4.1141066299115792E-2</v>
      </c>
      <c r="AO43" s="70">
        <f t="shared" si="102"/>
        <v>4.027352757408189E-2</v>
      </c>
      <c r="AP43" s="70">
        <f t="shared" si="102"/>
        <v>3.9993009590845244E-2</v>
      </c>
      <c r="AQ43" s="70">
        <f t="shared" si="102"/>
        <v>4.1008292228039249E-2</v>
      </c>
      <c r="AR43" s="70">
        <f t="shared" si="102"/>
        <v>4.2177899311162871E-2</v>
      </c>
      <c r="AS43" s="70">
        <f t="shared" si="102"/>
        <v>5.9907984422107159E-2</v>
      </c>
      <c r="AT43" s="70">
        <f t="shared" ref="AT43:BC43" si="103">4*(AT41)*(AT40)*(AT37)*(AT39)*(AT36)^4</f>
        <v>5.1118237878416108E-2</v>
      </c>
      <c r="AU43" s="70">
        <f t="shared" si="103"/>
        <v>4.5537107159865794E-2</v>
      </c>
      <c r="AV43" s="70">
        <f t="shared" si="103"/>
        <v>4.909924896203121E-2</v>
      </c>
      <c r="AW43" s="70">
        <f t="shared" si="103"/>
        <v>4.8559566736307055E-2</v>
      </c>
      <c r="AX43" s="70">
        <f t="shared" si="103"/>
        <v>4.3241687910496915E-2</v>
      </c>
      <c r="AY43" s="70">
        <f t="shared" si="103"/>
        <v>3.632455038380962E-2</v>
      </c>
      <c r="AZ43" s="70">
        <f t="shared" si="103"/>
        <v>3.4667228337442818E-2</v>
      </c>
      <c r="BA43" s="70">
        <f t="shared" si="103"/>
        <v>4.0500160392916332E-2</v>
      </c>
      <c r="BB43" s="70">
        <f t="shared" si="103"/>
        <v>3.7825015730893821E-2</v>
      </c>
      <c r="BC43" s="70">
        <f t="shared" si="103"/>
        <v>4.9520402328805509E-2</v>
      </c>
      <c r="BD43" s="85"/>
      <c r="BE43" s="70">
        <f>4*(BE41)*(BE40)*(BE37)*(BE39)*(BE36)^4</f>
        <v>5.3520168983784193E-2</v>
      </c>
      <c r="BF43" s="70">
        <f>4*(BF41)*(BF40)*(BF37)*(BF39)*(BF36)^4</f>
        <v>5.2753393623856629E-2</v>
      </c>
      <c r="BG43" s="70">
        <f>4*(BG41)*(BG40)*(BG37)*(BG39)*(BG36)^4</f>
        <v>5.4490071290449762E-2</v>
      </c>
      <c r="BH43" s="70"/>
      <c r="BI43" s="85"/>
      <c r="BJ43" s="85"/>
      <c r="BK43" s="85"/>
      <c r="BL43" s="85"/>
    </row>
    <row r="44" spans="1:74">
      <c r="A44" s="88" t="s">
        <v>374</v>
      </c>
      <c r="B44" s="70">
        <f t="shared" ref="B44:AB44" si="104">B34</f>
        <v>6.2291311343960813E-2</v>
      </c>
      <c r="C44" s="70">
        <f t="shared" si="104"/>
        <v>5.5242823355577862E-2</v>
      </c>
      <c r="D44" s="70">
        <f t="shared" si="104"/>
        <v>0.11634385437288022</v>
      </c>
      <c r="E44" s="70">
        <f t="shared" si="104"/>
        <v>0.10546225450657848</v>
      </c>
      <c r="F44" s="70">
        <f t="shared" si="104"/>
        <v>7.6605891839508958E-2</v>
      </c>
      <c r="G44" s="70">
        <f t="shared" si="104"/>
        <v>0.12361907504508661</v>
      </c>
      <c r="H44" s="70">
        <f t="shared" si="104"/>
        <v>8.6926670487456753E-2</v>
      </c>
      <c r="I44" s="70">
        <f t="shared" si="104"/>
        <v>0.14560551723476914</v>
      </c>
      <c r="J44" s="70">
        <f t="shared" si="104"/>
        <v>7.5683790616080687E-2</v>
      </c>
      <c r="K44" s="70">
        <f t="shared" si="104"/>
        <v>7.7769076737541645E-2</v>
      </c>
      <c r="L44" s="70">
        <f t="shared" si="104"/>
        <v>7.6379853182840574E-2</v>
      </c>
      <c r="M44" s="70">
        <f t="shared" si="104"/>
        <v>7.043862073773656E-2</v>
      </c>
      <c r="N44" s="70">
        <f t="shared" si="104"/>
        <v>5.5474605408255849E-2</v>
      </c>
      <c r="O44" s="70">
        <f t="shared" si="104"/>
        <v>7.3527884487740947E-2</v>
      </c>
      <c r="P44" s="70">
        <f t="shared" si="104"/>
        <v>6.2558517119533252E-2</v>
      </c>
      <c r="Q44" s="70">
        <f t="shared" si="104"/>
        <v>4.8356392797534807E-2</v>
      </c>
      <c r="R44" s="70">
        <f t="shared" si="104"/>
        <v>7.2806866598801576E-2</v>
      </c>
      <c r="S44" s="70">
        <f t="shared" si="104"/>
        <v>8.178532489321598E-2</v>
      </c>
      <c r="T44" s="70">
        <f t="shared" si="104"/>
        <v>0.21096778963702187</v>
      </c>
      <c r="U44" s="70">
        <f t="shared" si="104"/>
        <v>0.18598379835681458</v>
      </c>
      <c r="V44" s="70">
        <f t="shared" si="104"/>
        <v>0.18992033657136978</v>
      </c>
      <c r="W44" s="70">
        <f t="shared" si="104"/>
        <v>8.6771261701945018E-2</v>
      </c>
      <c r="X44" s="70">
        <f t="shared" si="104"/>
        <v>0.11211559463262459</v>
      </c>
      <c r="Y44" s="70">
        <f t="shared" si="104"/>
        <v>0.14333495804140434</v>
      </c>
      <c r="Z44" s="70">
        <f t="shared" si="104"/>
        <v>5.2222094051963944E-2</v>
      </c>
      <c r="AA44" s="70">
        <f t="shared" si="104"/>
        <v>0.11319334197025661</v>
      </c>
      <c r="AB44" s="70">
        <f t="shared" si="104"/>
        <v>9.9329010631757322E-2</v>
      </c>
      <c r="AC44" s="70"/>
      <c r="AD44" s="70">
        <f t="shared" ref="AD44:BC44" si="105">AD34</f>
        <v>0.12000670148541129</v>
      </c>
      <c r="AE44" s="70">
        <f t="shared" si="105"/>
        <v>5.9703395243278175E-2</v>
      </c>
      <c r="AF44" s="70">
        <f t="shared" si="105"/>
        <v>0.14820843639741813</v>
      </c>
      <c r="AG44" s="70">
        <f t="shared" si="105"/>
        <v>0.12342873483719384</v>
      </c>
      <c r="AH44" s="70">
        <f t="shared" si="105"/>
        <v>0.11847813818772412</v>
      </c>
      <c r="AI44" s="70">
        <f t="shared" si="105"/>
        <v>0.1333340391276725</v>
      </c>
      <c r="AJ44" s="70">
        <f t="shared" si="105"/>
        <v>0.16530179549409926</v>
      </c>
      <c r="AK44" s="70">
        <f t="shared" si="105"/>
        <v>0.16438623688665918</v>
      </c>
      <c r="AL44" s="70">
        <f t="shared" si="105"/>
        <v>0.12758249497413468</v>
      </c>
      <c r="AM44" s="70">
        <f t="shared" si="105"/>
        <v>0.15844897178599832</v>
      </c>
      <c r="AN44" s="70">
        <f t="shared" si="105"/>
        <v>0.17505804885899209</v>
      </c>
      <c r="AO44" s="70">
        <f t="shared" si="105"/>
        <v>0.14500580390923473</v>
      </c>
      <c r="AP44" s="70">
        <f t="shared" si="105"/>
        <v>0.14718335223840531</v>
      </c>
      <c r="AQ44" s="70">
        <f t="shared" si="105"/>
        <v>0.13626171317853567</v>
      </c>
      <c r="AR44" s="70">
        <f t="shared" si="105"/>
        <v>0.17549651947769546</v>
      </c>
      <c r="AS44" s="70">
        <f t="shared" si="105"/>
        <v>0.15848766911445258</v>
      </c>
      <c r="AT44" s="70">
        <f t="shared" si="105"/>
        <v>0.15320402294947816</v>
      </c>
      <c r="AU44" s="70">
        <f t="shared" si="105"/>
        <v>0.13872619330896843</v>
      </c>
      <c r="AV44" s="70">
        <f t="shared" si="105"/>
        <v>0.11741605559532957</v>
      </c>
      <c r="AW44" s="70">
        <f t="shared" si="105"/>
        <v>0.11532192395531005</v>
      </c>
      <c r="AX44" s="70">
        <f t="shared" si="105"/>
        <v>0.15956043920027979</v>
      </c>
      <c r="AY44" s="70">
        <f t="shared" si="105"/>
        <v>0.15351137328062531</v>
      </c>
      <c r="AZ44" s="70">
        <f t="shared" si="105"/>
        <v>0.13793772806099069</v>
      </c>
      <c r="BA44" s="70">
        <f t="shared" si="105"/>
        <v>0.12184862282934011</v>
      </c>
      <c r="BB44" s="70">
        <f t="shared" si="105"/>
        <v>0.17505624325573707</v>
      </c>
      <c r="BC44" s="70">
        <f t="shared" si="105"/>
        <v>0.10152425874439297</v>
      </c>
      <c r="BE44" s="70">
        <f>BE34</f>
        <v>0.12139685363225217</v>
      </c>
      <c r="BF44" s="70">
        <f>BF34</f>
        <v>0.15201574254421182</v>
      </c>
      <c r="BG44" s="70">
        <f>BG34</f>
        <v>0.12848963953931761</v>
      </c>
      <c r="BH44" s="70"/>
    </row>
    <row r="45" spans="1:74" s="4" customFormat="1">
      <c r="A45" s="24" t="s">
        <v>375</v>
      </c>
      <c r="B45" s="5">
        <f t="shared" ref="B45:Q45" si="106">B32+B34+B35</f>
        <v>0.89175703520917726</v>
      </c>
      <c r="C45" s="5">
        <f t="shared" si="106"/>
        <v>0.92290593024160461</v>
      </c>
      <c r="D45" s="5">
        <f t="shared" si="106"/>
        <v>0.95416603059531035</v>
      </c>
      <c r="E45" s="5">
        <f t="shared" si="106"/>
        <v>0.93690248062057391</v>
      </c>
      <c r="F45" s="5">
        <f t="shared" si="106"/>
        <v>0.91766492625321983</v>
      </c>
      <c r="G45" s="5">
        <f t="shared" si="106"/>
        <v>0.93195037749235377</v>
      </c>
      <c r="H45" s="5">
        <f t="shared" si="106"/>
        <v>0.89966915422679328</v>
      </c>
      <c r="I45" s="5">
        <f t="shared" si="106"/>
        <v>0.92354925899893303</v>
      </c>
      <c r="J45" s="5">
        <f t="shared" si="106"/>
        <v>0.8798415378212765</v>
      </c>
      <c r="K45" s="5">
        <f t="shared" si="106"/>
        <v>0.83317840650858699</v>
      </c>
      <c r="L45" s="5">
        <f t="shared" si="106"/>
        <v>0.90025929698549689</v>
      </c>
      <c r="M45" s="5">
        <f t="shared" si="106"/>
        <v>0.97538492375601593</v>
      </c>
      <c r="N45" s="5">
        <f t="shared" si="106"/>
        <v>0.96279382997623497</v>
      </c>
      <c r="O45" s="5">
        <f t="shared" si="106"/>
        <v>0.99565212988292595</v>
      </c>
      <c r="P45" s="5">
        <f t="shared" si="106"/>
        <v>0.96375325135133849</v>
      </c>
      <c r="Q45" s="5">
        <f t="shared" si="106"/>
        <v>0.93467648820994442</v>
      </c>
      <c r="R45" s="5">
        <f t="shared" ref="R45:AB45" si="107">R32+R34+R35</f>
        <v>0.98388582915065581</v>
      </c>
      <c r="S45" s="5">
        <f t="shared" si="107"/>
        <v>0.96276201786703342</v>
      </c>
      <c r="T45" s="5">
        <f t="shared" si="107"/>
        <v>1.0070827313885615</v>
      </c>
      <c r="U45" s="5">
        <f t="shared" si="107"/>
        <v>0.96893691951871441</v>
      </c>
      <c r="V45" s="5">
        <f t="shared" si="107"/>
        <v>0.9926427599586769</v>
      </c>
      <c r="W45" s="5">
        <f t="shared" si="107"/>
        <v>0.82171138773127916</v>
      </c>
      <c r="X45" s="5">
        <f t="shared" si="107"/>
        <v>0.96006969422461208</v>
      </c>
      <c r="Y45" s="5">
        <f t="shared" si="107"/>
        <v>0.98712327581291448</v>
      </c>
      <c r="Z45" s="5">
        <f t="shared" si="107"/>
        <v>0.90344225203918183</v>
      </c>
      <c r="AA45" s="5">
        <f t="shared" si="107"/>
        <v>0.98126238290888712</v>
      </c>
      <c r="AB45" s="5">
        <f t="shared" si="107"/>
        <v>0.9815081323193815</v>
      </c>
      <c r="AC45" s="5"/>
      <c r="AD45" s="5">
        <f t="shared" ref="AD45:AS45" si="108">AD32+AD34+AD35</f>
        <v>0.91792019570870853</v>
      </c>
      <c r="AE45" s="5">
        <f t="shared" si="108"/>
        <v>0.8209879380878603</v>
      </c>
      <c r="AF45" s="5">
        <f t="shared" si="108"/>
        <v>0.86624006952440513</v>
      </c>
      <c r="AG45" s="5">
        <f t="shared" si="108"/>
        <v>0.90111441658671054</v>
      </c>
      <c r="AH45" s="5">
        <f t="shared" si="108"/>
        <v>0.82401776901618573</v>
      </c>
      <c r="AI45" s="5">
        <f t="shared" si="108"/>
        <v>0.95358128501254602</v>
      </c>
      <c r="AJ45" s="5">
        <f t="shared" si="108"/>
        <v>0.94423569044464428</v>
      </c>
      <c r="AK45" s="5">
        <f t="shared" si="108"/>
        <v>0.95365760796960675</v>
      </c>
      <c r="AL45" s="5">
        <f t="shared" si="108"/>
        <v>0.96277062578565642</v>
      </c>
      <c r="AM45" s="5">
        <f t="shared" si="108"/>
        <v>0.97284787134444373</v>
      </c>
      <c r="AN45" s="5">
        <f t="shared" si="108"/>
        <v>0.98121798284438577</v>
      </c>
      <c r="AO45" s="5">
        <f t="shared" si="108"/>
        <v>0.9724885041105451</v>
      </c>
      <c r="AP45" s="5">
        <f t="shared" si="108"/>
        <v>0.98964171829136582</v>
      </c>
      <c r="AQ45" s="5">
        <f t="shared" si="108"/>
        <v>0.94987709517651187</v>
      </c>
      <c r="AR45" s="5">
        <f t="shared" si="108"/>
        <v>0.96629450054214328</v>
      </c>
      <c r="AS45" s="5">
        <f t="shared" si="108"/>
        <v>0.99332350582380946</v>
      </c>
      <c r="AT45" s="5">
        <f t="shared" ref="AT45:BC45" si="109">AT32+AT34+AT35</f>
        <v>0.96395711576688226</v>
      </c>
      <c r="AU45" s="5">
        <f t="shared" si="109"/>
        <v>0.95812553843676074</v>
      </c>
      <c r="AV45" s="5">
        <f t="shared" si="109"/>
        <v>0.96525977433252663</v>
      </c>
      <c r="AW45" s="5">
        <f t="shared" si="109"/>
        <v>0.96691559604271027</v>
      </c>
      <c r="AX45" s="5">
        <f t="shared" si="109"/>
        <v>0.94235140589420285</v>
      </c>
      <c r="AY45" s="5">
        <f t="shared" si="109"/>
        <v>0.94475056341918429</v>
      </c>
      <c r="AZ45" s="5">
        <f t="shared" si="109"/>
        <v>0.8606925182075702</v>
      </c>
      <c r="BA45" s="5">
        <f t="shared" si="109"/>
        <v>0.84396252021977369</v>
      </c>
      <c r="BB45" s="5">
        <f t="shared" si="109"/>
        <v>0.93994384190338642</v>
      </c>
      <c r="BC45" s="5">
        <f t="shared" si="109"/>
        <v>0.91580618341011877</v>
      </c>
      <c r="BE45" s="5">
        <f>BE32+BE34+BE35</f>
        <v>0.86373264628759772</v>
      </c>
      <c r="BF45" s="5">
        <f>BF32+BF34+BF35</f>
        <v>0.94089891961597694</v>
      </c>
      <c r="BG45" s="5">
        <f>BG32+BG34+BG35</f>
        <v>0.90921791738945557</v>
      </c>
      <c r="BH45" s="5"/>
    </row>
    <row r="46" spans="1:74" s="4" customFormat="1">
      <c r="A46" s="24" t="s">
        <v>376</v>
      </c>
      <c r="B46" s="5">
        <f t="shared" ref="B46:Q46" si="110">B32/B45</f>
        <v>8.042059410318993E-3</v>
      </c>
      <c r="C46" s="5">
        <f t="shared" si="110"/>
        <v>7.088253384878309E-3</v>
      </c>
      <c r="D46" s="5">
        <f t="shared" si="110"/>
        <v>0</v>
      </c>
      <c r="E46" s="5">
        <f t="shared" si="110"/>
        <v>2.30391516421972E-3</v>
      </c>
      <c r="F46" s="5">
        <f t="shared" si="110"/>
        <v>7.5626811415662972E-4</v>
      </c>
      <c r="G46" s="5">
        <f t="shared" si="110"/>
        <v>7.4043184964437108E-4</v>
      </c>
      <c r="H46" s="5">
        <f t="shared" si="110"/>
        <v>1.5255616242749611E-3</v>
      </c>
      <c r="I46" s="5">
        <f t="shared" si="110"/>
        <v>4.4679750672330532E-3</v>
      </c>
      <c r="J46" s="5">
        <f t="shared" si="110"/>
        <v>4.6757083565225769E-3</v>
      </c>
      <c r="K46" s="5">
        <f t="shared" si="110"/>
        <v>4.9125527107539563E-3</v>
      </c>
      <c r="L46" s="5">
        <f t="shared" si="110"/>
        <v>0</v>
      </c>
      <c r="M46" s="5">
        <f t="shared" si="110"/>
        <v>7.5298533902456641E-4</v>
      </c>
      <c r="N46" s="5">
        <f t="shared" si="110"/>
        <v>0</v>
      </c>
      <c r="O46" s="5">
        <f t="shared" si="110"/>
        <v>2.915036473459455E-3</v>
      </c>
      <c r="P46" s="5">
        <f t="shared" si="110"/>
        <v>0</v>
      </c>
      <c r="Q46" s="5">
        <f t="shared" si="110"/>
        <v>1.5454267854883104E-3</v>
      </c>
      <c r="R46" s="5">
        <f t="shared" ref="R46:AB46" si="111">R32/R45</f>
        <v>0</v>
      </c>
      <c r="S46" s="5">
        <f t="shared" si="111"/>
        <v>0</v>
      </c>
      <c r="T46" s="5">
        <f t="shared" si="111"/>
        <v>2.8761577607524552E-3</v>
      </c>
      <c r="U46" s="5">
        <f t="shared" si="111"/>
        <v>2.2409909583261342E-3</v>
      </c>
      <c r="V46" s="5">
        <f t="shared" si="111"/>
        <v>0</v>
      </c>
      <c r="W46" s="5">
        <f t="shared" si="111"/>
        <v>4.2286827617512767E-3</v>
      </c>
      <c r="X46" s="5">
        <f t="shared" si="111"/>
        <v>2.2000341967186757E-3</v>
      </c>
      <c r="Y46" s="5">
        <f t="shared" si="111"/>
        <v>4.2987436170673753E-3</v>
      </c>
      <c r="Z46" s="5">
        <f t="shared" si="111"/>
        <v>1.5582158186774951E-3</v>
      </c>
      <c r="AA46" s="5">
        <f t="shared" si="111"/>
        <v>0</v>
      </c>
      <c r="AB46" s="5">
        <f t="shared" si="111"/>
        <v>7.3586170126290471E-4</v>
      </c>
      <c r="AC46" s="5"/>
      <c r="AD46" s="5">
        <f t="shared" ref="AD46:AS46" si="112">AD32/AD45</f>
        <v>9.0310484418007781E-3</v>
      </c>
      <c r="AE46" s="5">
        <f t="shared" si="112"/>
        <v>2.5117120862344595E-2</v>
      </c>
      <c r="AF46" s="5">
        <f t="shared" si="112"/>
        <v>3.9726955559594461E-3</v>
      </c>
      <c r="AG46" s="5">
        <f t="shared" si="112"/>
        <v>0</v>
      </c>
      <c r="AH46" s="5">
        <f t="shared" si="112"/>
        <v>8.2767149061479649E-4</v>
      </c>
      <c r="AI46" s="5">
        <f t="shared" si="112"/>
        <v>0</v>
      </c>
      <c r="AJ46" s="5">
        <f t="shared" si="112"/>
        <v>2.2852950436440199E-3</v>
      </c>
      <c r="AK46" s="5">
        <f t="shared" si="112"/>
        <v>1.6983949379770661E-2</v>
      </c>
      <c r="AL46" s="5">
        <f t="shared" si="112"/>
        <v>0</v>
      </c>
      <c r="AM46" s="5">
        <f t="shared" si="112"/>
        <v>0</v>
      </c>
      <c r="AN46" s="5">
        <f t="shared" si="112"/>
        <v>7.3031530359437971E-4</v>
      </c>
      <c r="AO46" s="5">
        <f t="shared" si="112"/>
        <v>1.4846890692859654E-3</v>
      </c>
      <c r="AP46" s="5">
        <f t="shared" si="112"/>
        <v>0</v>
      </c>
      <c r="AQ46" s="5">
        <f t="shared" si="112"/>
        <v>7.5499611250636476E-4</v>
      </c>
      <c r="AR46" s="5">
        <f t="shared" si="112"/>
        <v>2.2303553959957204E-3</v>
      </c>
      <c r="AS46" s="5">
        <f t="shared" si="112"/>
        <v>1.9513549937869589E-2</v>
      </c>
      <c r="AT46" s="5">
        <f t="shared" ref="AT46:BC46" si="113">AT32/AT45</f>
        <v>0</v>
      </c>
      <c r="AU46" s="5">
        <f t="shared" si="113"/>
        <v>2.2433710705126665E-3</v>
      </c>
      <c r="AV46" s="5">
        <f t="shared" si="113"/>
        <v>1.4938202766572259E-3</v>
      </c>
      <c r="AW46" s="5">
        <f t="shared" si="113"/>
        <v>7.4056109414083362E-4</v>
      </c>
      <c r="AX46" s="5">
        <f t="shared" si="113"/>
        <v>0</v>
      </c>
      <c r="AY46" s="5">
        <f t="shared" si="113"/>
        <v>1.4720452061769466E-3</v>
      </c>
      <c r="AZ46" s="5">
        <f t="shared" si="113"/>
        <v>0</v>
      </c>
      <c r="BA46" s="5">
        <f t="shared" si="113"/>
        <v>1.5957139635305836E-3</v>
      </c>
      <c r="BB46" s="5">
        <f t="shared" si="113"/>
        <v>1.4702975796762937E-3</v>
      </c>
      <c r="BC46" s="5">
        <f t="shared" si="113"/>
        <v>3.0253025489610109E-3</v>
      </c>
      <c r="BE46" s="5">
        <f>BE32/BE45</f>
        <v>0</v>
      </c>
      <c r="BF46" s="5">
        <f>BF32/BF45</f>
        <v>0</v>
      </c>
      <c r="BG46" s="5">
        <f>BG32/BG45</f>
        <v>2.4404939310882943E-3</v>
      </c>
      <c r="BH46" s="5"/>
    </row>
    <row r="47" spans="1:74" s="4" customFormat="1">
      <c r="A47" s="24" t="s">
        <v>377</v>
      </c>
      <c r="B47" s="5">
        <f t="shared" ref="B47:Q47" si="114">B21+B26+B24+B25+B23+B22</f>
        <v>1.6205166954668755</v>
      </c>
      <c r="C47" s="5">
        <f t="shared" si="114"/>
        <v>1.6392643560414775</v>
      </c>
      <c r="D47" s="5">
        <f t="shared" si="114"/>
        <v>1.7100935268904436</v>
      </c>
      <c r="E47" s="5">
        <f t="shared" si="114"/>
        <v>1.7010638054619684</v>
      </c>
      <c r="F47" s="5">
        <f t="shared" si="114"/>
        <v>1.6984100101338959</v>
      </c>
      <c r="G47" s="5">
        <f t="shared" si="114"/>
        <v>1.7334283384056692</v>
      </c>
      <c r="H47" s="5">
        <f t="shared" si="114"/>
        <v>1.6770616846264925</v>
      </c>
      <c r="I47" s="5">
        <f t="shared" si="114"/>
        <v>1.7395487030373684</v>
      </c>
      <c r="J47" s="5">
        <f t="shared" si="114"/>
        <v>1.6523458901104229</v>
      </c>
      <c r="K47" s="5">
        <f t="shared" si="114"/>
        <v>1.6856174720837167</v>
      </c>
      <c r="L47" s="5">
        <f t="shared" si="114"/>
        <v>1.6861423403662206</v>
      </c>
      <c r="M47" s="5">
        <f t="shared" si="114"/>
        <v>1.6907852379829336</v>
      </c>
      <c r="N47" s="5">
        <f t="shared" si="114"/>
        <v>1.6122907522375334</v>
      </c>
      <c r="O47" s="5">
        <f t="shared" si="114"/>
        <v>1.6365999973107728</v>
      </c>
      <c r="P47" s="5">
        <f t="shared" si="114"/>
        <v>1.6464702325495078</v>
      </c>
      <c r="Q47" s="5">
        <f t="shared" si="114"/>
        <v>1.642761183591217</v>
      </c>
      <c r="R47" s="5">
        <f t="shared" ref="R47:AB47" si="115">R21+R26+R24+R25+R23+R22</f>
        <v>1.6962912334258018</v>
      </c>
      <c r="S47" s="5">
        <f t="shared" si="115"/>
        <v>1.6609352678293285</v>
      </c>
      <c r="T47" s="5">
        <f t="shared" si="115"/>
        <v>1.7726061221259306</v>
      </c>
      <c r="U47" s="5">
        <f t="shared" si="115"/>
        <v>1.7833275269223974</v>
      </c>
      <c r="V47" s="5">
        <f t="shared" si="115"/>
        <v>1.7636517198652217</v>
      </c>
      <c r="W47" s="5">
        <f t="shared" si="115"/>
        <v>1.7943123559204344</v>
      </c>
      <c r="X47" s="5">
        <f t="shared" si="115"/>
        <v>1.7642332937512744</v>
      </c>
      <c r="Y47" s="5">
        <f t="shared" si="115"/>
        <v>1.7597771815816516</v>
      </c>
      <c r="Z47" s="5">
        <f t="shared" si="115"/>
        <v>1.7708230862180743</v>
      </c>
      <c r="AA47" s="5">
        <f t="shared" si="115"/>
        <v>1.780197801635145</v>
      </c>
      <c r="AB47" s="5">
        <f t="shared" si="115"/>
        <v>1.7363829681196481</v>
      </c>
      <c r="AC47" s="5"/>
      <c r="AD47" s="5">
        <f t="shared" ref="AD47:AS47" si="116">AD21+AD26+AD24+AD25+AD23+AD22</f>
        <v>1.7375601605544411</v>
      </c>
      <c r="AE47" s="5">
        <f t="shared" si="116"/>
        <v>1.7166388969368993</v>
      </c>
      <c r="AF47" s="5">
        <f t="shared" si="116"/>
        <v>1.7749739349947096</v>
      </c>
      <c r="AG47" s="5">
        <f t="shared" si="116"/>
        <v>1.7101223678658928</v>
      </c>
      <c r="AH47" s="5">
        <f t="shared" si="116"/>
        <v>1.7689100490026024</v>
      </c>
      <c r="AI47" s="5">
        <f t="shared" si="116"/>
        <v>1.7045232544251316</v>
      </c>
      <c r="AJ47" s="5">
        <f t="shared" si="116"/>
        <v>1.7532365337749913</v>
      </c>
      <c r="AK47" s="5">
        <f t="shared" si="116"/>
        <v>1.7351476213422372</v>
      </c>
      <c r="AL47" s="5">
        <f t="shared" si="116"/>
        <v>1.6769310202555516</v>
      </c>
      <c r="AM47" s="5">
        <f t="shared" si="116"/>
        <v>1.7360231943010918</v>
      </c>
      <c r="AN47" s="5">
        <f t="shared" si="116"/>
        <v>1.7599098224087164</v>
      </c>
      <c r="AO47" s="5">
        <f t="shared" si="116"/>
        <v>1.7504676717196117</v>
      </c>
      <c r="AP47" s="5">
        <f t="shared" si="116"/>
        <v>1.7481049261450234</v>
      </c>
      <c r="AQ47" s="5">
        <f t="shared" si="116"/>
        <v>1.71148280965903</v>
      </c>
      <c r="AR47" s="5">
        <f t="shared" si="116"/>
        <v>1.7406656114937056</v>
      </c>
      <c r="AS47" s="5">
        <f t="shared" si="116"/>
        <v>1.7436538633940273</v>
      </c>
      <c r="AT47" s="5">
        <f t="shared" ref="AT47:BC47" si="117">AT21+AT26+AT24+AT25+AT23+AT22</f>
        <v>1.7482319983133838</v>
      </c>
      <c r="AU47" s="5">
        <f t="shared" si="117"/>
        <v>1.7253822438917343</v>
      </c>
      <c r="AV47" s="5">
        <f t="shared" si="117"/>
        <v>1.6938583542494061</v>
      </c>
      <c r="AW47" s="5">
        <f t="shared" si="117"/>
        <v>1.6653194085582066</v>
      </c>
      <c r="AX47" s="5">
        <f t="shared" si="117"/>
        <v>1.7254087495756065</v>
      </c>
      <c r="AY47" s="5">
        <f t="shared" si="117"/>
        <v>1.7473797296384499</v>
      </c>
      <c r="AZ47" s="5">
        <f t="shared" si="117"/>
        <v>1.7718576925315965</v>
      </c>
      <c r="BA47" s="5">
        <f t="shared" si="117"/>
        <v>1.7651983633011283</v>
      </c>
      <c r="BB47" s="5">
        <f t="shared" si="117"/>
        <v>1.7500203385102937</v>
      </c>
      <c r="BC47" s="5">
        <f t="shared" si="117"/>
        <v>1.7604267349746814</v>
      </c>
      <c r="BE47" s="5">
        <f>BE21+BE26+BE24+BE25+BE23+BE22</f>
        <v>1.7380006080339132</v>
      </c>
      <c r="BF47" s="5">
        <f>BF21+BF26+BF24+BF25+BF23+BF22</f>
        <v>1.7367403037084912</v>
      </c>
      <c r="BG47" s="5">
        <f>BG21+BG26+BG24+BG25+BG23+BG22</f>
        <v>1.7393713102836343</v>
      </c>
      <c r="BH47" s="5"/>
    </row>
    <row r="48" spans="1:74" s="4" customFormat="1">
      <c r="A48" s="24" t="s">
        <v>378</v>
      </c>
      <c r="B48" s="5">
        <f t="shared" ref="B48:Q48" si="118">(B23)/2</f>
        <v>0</v>
      </c>
      <c r="C48" s="5">
        <f t="shared" si="118"/>
        <v>0</v>
      </c>
      <c r="D48" s="5">
        <f t="shared" si="118"/>
        <v>0</v>
      </c>
      <c r="E48" s="5">
        <f t="shared" si="118"/>
        <v>0</v>
      </c>
      <c r="F48" s="5">
        <f t="shared" si="118"/>
        <v>2.5601605418594858E-3</v>
      </c>
      <c r="G48" s="5">
        <f t="shared" si="118"/>
        <v>3.0546847940440681E-3</v>
      </c>
      <c r="H48" s="5">
        <f t="shared" si="118"/>
        <v>0</v>
      </c>
      <c r="I48" s="5">
        <f t="shared" si="118"/>
        <v>2.2833334604873499E-3</v>
      </c>
      <c r="J48" s="5">
        <f t="shared" si="118"/>
        <v>2.2764096176782832E-3</v>
      </c>
      <c r="K48" s="5">
        <f t="shared" si="118"/>
        <v>2.2648725329121665E-3</v>
      </c>
      <c r="L48" s="5">
        <f t="shared" si="118"/>
        <v>3.0631276255575672E-3</v>
      </c>
      <c r="M48" s="5">
        <f t="shared" si="118"/>
        <v>0</v>
      </c>
      <c r="N48" s="5">
        <f t="shared" si="118"/>
        <v>0</v>
      </c>
      <c r="O48" s="5">
        <f t="shared" si="118"/>
        <v>0</v>
      </c>
      <c r="P48" s="5">
        <f t="shared" si="118"/>
        <v>2.1707681285513441E-3</v>
      </c>
      <c r="Q48" s="5">
        <f t="shared" si="118"/>
        <v>2.1314591880704191E-3</v>
      </c>
      <c r="R48" s="5">
        <f t="shared" ref="R48:AB48" si="119">(R23)/2</f>
        <v>7.0164568862769181E-3</v>
      </c>
      <c r="S48" s="5">
        <f t="shared" si="119"/>
        <v>2.4202546602411089E-3</v>
      </c>
      <c r="T48" s="5">
        <f t="shared" si="119"/>
        <v>1.2555181531611333E-2</v>
      </c>
      <c r="U48" s="5">
        <f t="shared" si="119"/>
        <v>1.842343987107176E-2</v>
      </c>
      <c r="V48" s="5">
        <f t="shared" si="119"/>
        <v>2.0165319361361862E-2</v>
      </c>
      <c r="W48" s="5">
        <f t="shared" si="119"/>
        <v>2.5636674154287268E-4</v>
      </c>
      <c r="X48" s="5">
        <f t="shared" si="119"/>
        <v>1.0389106676333461E-3</v>
      </c>
      <c r="Y48" s="5">
        <f t="shared" si="119"/>
        <v>0</v>
      </c>
      <c r="Z48" s="5">
        <f t="shared" si="119"/>
        <v>1.2983007023822397E-3</v>
      </c>
      <c r="AA48" s="5">
        <f t="shared" si="119"/>
        <v>0</v>
      </c>
      <c r="AB48" s="5">
        <f t="shared" si="119"/>
        <v>2.1315099595543459E-3</v>
      </c>
      <c r="AC48" s="5"/>
      <c r="AD48" s="5">
        <f t="shared" ref="AD48:AS48" si="120">(AD23)/2</f>
        <v>5.0968179704073766E-4</v>
      </c>
      <c r="AE48" s="5">
        <f t="shared" si="120"/>
        <v>1.014267816726107E-3</v>
      </c>
      <c r="AF48" s="5">
        <f t="shared" si="120"/>
        <v>7.6169671157693493E-4</v>
      </c>
      <c r="AG48" s="5">
        <f t="shared" si="120"/>
        <v>3.3041465156374399E-3</v>
      </c>
      <c r="AH48" s="5">
        <f t="shared" si="120"/>
        <v>3.522328731969246E-3</v>
      </c>
      <c r="AI48" s="5">
        <f t="shared" si="120"/>
        <v>0</v>
      </c>
      <c r="AJ48" s="5">
        <f t="shared" si="120"/>
        <v>0</v>
      </c>
      <c r="AK48" s="5">
        <f t="shared" si="120"/>
        <v>0</v>
      </c>
      <c r="AL48" s="5">
        <f t="shared" si="120"/>
        <v>2.3885942716781803E-3</v>
      </c>
      <c r="AM48" s="5">
        <f t="shared" si="120"/>
        <v>1.8533715684702357E-3</v>
      </c>
      <c r="AN48" s="5">
        <f t="shared" si="120"/>
        <v>0</v>
      </c>
      <c r="AO48" s="5">
        <f t="shared" si="120"/>
        <v>2.6631600565543722E-4</v>
      </c>
      <c r="AP48" s="5">
        <f t="shared" si="120"/>
        <v>2.1242474007124906E-3</v>
      </c>
      <c r="AQ48" s="5">
        <f t="shared" si="120"/>
        <v>2.9101280084873533E-3</v>
      </c>
      <c r="AR48" s="5">
        <f t="shared" si="120"/>
        <v>5.5653040456566842E-3</v>
      </c>
      <c r="AS48" s="5">
        <f t="shared" si="120"/>
        <v>1.3241601497446407E-3</v>
      </c>
      <c r="AT48" s="5">
        <f t="shared" ref="AT48:BC48" si="121">(AT23)/2</f>
        <v>2.4024904998468204E-3</v>
      </c>
      <c r="AU48" s="5">
        <f t="shared" si="121"/>
        <v>5.2861508100117654E-4</v>
      </c>
      <c r="AV48" s="5">
        <f t="shared" si="121"/>
        <v>0</v>
      </c>
      <c r="AW48" s="5">
        <f t="shared" si="121"/>
        <v>2.1132297762707234E-3</v>
      </c>
      <c r="AX48" s="5">
        <f t="shared" si="121"/>
        <v>5.2045126391326094E-4</v>
      </c>
      <c r="AY48" s="5">
        <f t="shared" si="121"/>
        <v>2.3086500009737031E-3</v>
      </c>
      <c r="AZ48" s="5">
        <f t="shared" si="121"/>
        <v>0</v>
      </c>
      <c r="BA48" s="5">
        <f t="shared" si="121"/>
        <v>1.4904133680189763E-3</v>
      </c>
      <c r="BB48" s="5">
        <f t="shared" si="121"/>
        <v>1.7843599640634616E-3</v>
      </c>
      <c r="BC48" s="5">
        <f t="shared" si="121"/>
        <v>1.7886184663187899E-3</v>
      </c>
      <c r="BE48" s="5">
        <f>(BE23)/2</f>
        <v>1.3450067678870651E-3</v>
      </c>
      <c r="BF48" s="5">
        <f>(BF23)/2</f>
        <v>2.9642735022888493E-3</v>
      </c>
      <c r="BG48" s="5">
        <f>(BG23)/2</f>
        <v>5.4570977762835365E-4</v>
      </c>
      <c r="BH48" s="5"/>
    </row>
    <row r="49" spans="1:74" s="4" customFormat="1">
      <c r="A49" s="24" t="s">
        <v>379</v>
      </c>
      <c r="B49" s="5">
        <f t="shared" ref="B49:AB49" si="122">B22</f>
        <v>1.6107384479438377E-2</v>
      </c>
      <c r="C49" s="5">
        <f t="shared" si="122"/>
        <v>1.1223752145384021E-2</v>
      </c>
      <c r="D49" s="5">
        <f t="shared" si="122"/>
        <v>2.5571719084183906E-2</v>
      </c>
      <c r="E49" s="5">
        <f t="shared" si="122"/>
        <v>2.5250550297543022E-2</v>
      </c>
      <c r="F49" s="5">
        <f t="shared" si="122"/>
        <v>1.4613101585987947E-2</v>
      </c>
      <c r="G49" s="5">
        <f t="shared" si="122"/>
        <v>1.9857426447657225E-2</v>
      </c>
      <c r="H49" s="5">
        <f t="shared" si="122"/>
        <v>1.8303216326285957E-2</v>
      </c>
      <c r="I49" s="5">
        <f t="shared" si="122"/>
        <v>2.2687081873417444E-2</v>
      </c>
      <c r="J49" s="5">
        <f t="shared" si="122"/>
        <v>1.0587283245373324E-2</v>
      </c>
      <c r="K49" s="5">
        <f t="shared" si="122"/>
        <v>1.3885233974615377E-2</v>
      </c>
      <c r="L49" s="5">
        <f t="shared" si="122"/>
        <v>1.7483979786129963E-2</v>
      </c>
      <c r="M49" s="5">
        <f t="shared" si="122"/>
        <v>3.4538111503524205E-2</v>
      </c>
      <c r="N49" s="5">
        <f t="shared" si="122"/>
        <v>2.3566309322824313E-2</v>
      </c>
      <c r="O49" s="5">
        <f t="shared" si="122"/>
        <v>2.8519432642798239E-2</v>
      </c>
      <c r="P49" s="5">
        <f t="shared" si="122"/>
        <v>2.5297259659287218E-2</v>
      </c>
      <c r="Q49" s="5">
        <f t="shared" si="122"/>
        <v>3.4470683592602677E-2</v>
      </c>
      <c r="R49" s="5">
        <f t="shared" si="122"/>
        <v>3.1320471900915012E-2</v>
      </c>
      <c r="S49" s="5">
        <f t="shared" si="122"/>
        <v>3.376886314516802E-2</v>
      </c>
      <c r="T49" s="5">
        <f t="shared" si="122"/>
        <v>2.5412599478544393E-2</v>
      </c>
      <c r="U49" s="5">
        <f t="shared" si="122"/>
        <v>1.9812541372152302E-2</v>
      </c>
      <c r="V49" s="5">
        <f t="shared" si="122"/>
        <v>2.4043387053444939E-2</v>
      </c>
      <c r="W49" s="5">
        <f t="shared" si="122"/>
        <v>3.0729548674704545E-2</v>
      </c>
      <c r="X49" s="5">
        <f t="shared" si="122"/>
        <v>4.0521546855059272E-2</v>
      </c>
      <c r="Y49" s="5">
        <f t="shared" si="122"/>
        <v>3.871840999950503E-2</v>
      </c>
      <c r="Z49" s="5">
        <f t="shared" si="122"/>
        <v>3.0630277126711344E-2</v>
      </c>
      <c r="AA49" s="5">
        <f t="shared" si="122"/>
        <v>3.5830163441516807E-2</v>
      </c>
      <c r="AB49" s="5">
        <f t="shared" si="122"/>
        <v>3.1936835224094892E-2</v>
      </c>
      <c r="AC49" s="5"/>
      <c r="AD49" s="5">
        <f t="shared" ref="AD49:BC49" si="123">AD22</f>
        <v>2.6667712598481302E-2</v>
      </c>
      <c r="AE49" s="5">
        <f t="shared" si="123"/>
        <v>2.1709964666588318E-2</v>
      </c>
      <c r="AF49" s="5">
        <f t="shared" si="123"/>
        <v>2.2221460860745015E-2</v>
      </c>
      <c r="AG49" s="5">
        <f t="shared" si="123"/>
        <v>1.4991033939080882E-2</v>
      </c>
      <c r="AH49" s="5">
        <f t="shared" si="123"/>
        <v>2.010504682730781E-2</v>
      </c>
      <c r="AI49" s="5">
        <f t="shared" si="123"/>
        <v>1.6569391571744779E-2</v>
      </c>
      <c r="AJ49" s="5">
        <f t="shared" si="123"/>
        <v>2.3727966392578178E-2</v>
      </c>
      <c r="AK49" s="5">
        <f t="shared" si="123"/>
        <v>2.1253624811658132E-2</v>
      </c>
      <c r="AL49" s="5">
        <f t="shared" si="123"/>
        <v>1.9693297101988822E-2</v>
      </c>
      <c r="AM49" s="5">
        <f t="shared" si="123"/>
        <v>2.6195201830180492E-2</v>
      </c>
      <c r="AN49" s="5">
        <f t="shared" si="123"/>
        <v>2.1124498926615581E-2</v>
      </c>
      <c r="AO49" s="5">
        <f t="shared" si="123"/>
        <v>2.026801460812995E-2</v>
      </c>
      <c r="AP49" s="5">
        <f t="shared" si="123"/>
        <v>2.5765539084280281E-2</v>
      </c>
      <c r="AQ49" s="5">
        <f t="shared" si="123"/>
        <v>2.4160982674720537E-2</v>
      </c>
      <c r="AR49" s="5">
        <f t="shared" si="123"/>
        <v>2.6219650213408375E-2</v>
      </c>
      <c r="AS49" s="5">
        <f t="shared" si="123"/>
        <v>2.0658953353019753E-2</v>
      </c>
      <c r="AT49" s="5">
        <f t="shared" si="123"/>
        <v>2.1839443817033358E-2</v>
      </c>
      <c r="AU49" s="5">
        <f t="shared" si="123"/>
        <v>2.6149708134652949E-2</v>
      </c>
      <c r="AV49" s="5">
        <f t="shared" si="123"/>
        <v>1.9735057457827766E-2</v>
      </c>
      <c r="AW49" s="5">
        <f t="shared" si="123"/>
        <v>1.8093108356058062E-2</v>
      </c>
      <c r="AX49" s="5">
        <f t="shared" si="123"/>
        <v>1.9309393269484752E-2</v>
      </c>
      <c r="AY49" s="5">
        <f t="shared" si="123"/>
        <v>2.0498346366592878E-2</v>
      </c>
      <c r="AZ49" s="5">
        <f t="shared" si="123"/>
        <v>1.7670461091521952E-2</v>
      </c>
      <c r="BA49" s="5">
        <f t="shared" si="123"/>
        <v>2.3630855257222024E-2</v>
      </c>
      <c r="BB49" s="5">
        <f t="shared" si="123"/>
        <v>2.4249812420608564E-2</v>
      </c>
      <c r="BC49" s="5">
        <f t="shared" si="123"/>
        <v>1.9932302787843872E-2</v>
      </c>
      <c r="BE49" s="5">
        <f>BE22</f>
        <v>1.3818858771121838E-2</v>
      </c>
      <c r="BF49" s="5">
        <f>BF22</f>
        <v>1.5381574393603966E-2</v>
      </c>
      <c r="BG49" s="5">
        <f>BG22</f>
        <v>1.972737431171695E-2</v>
      </c>
      <c r="BH49" s="5"/>
    </row>
    <row r="50" spans="1:74" s="4" customFormat="1">
      <c r="A50" s="24" t="s">
        <v>380</v>
      </c>
      <c r="B50" s="5">
        <f t="shared" ref="B50:Q50" si="124">1-(B51+B48+B49+B52+B55+B46)</f>
        <v>0.45559681193861401</v>
      </c>
      <c r="C50" s="5">
        <f t="shared" si="124"/>
        <v>0.44772803872420353</v>
      </c>
      <c r="D50" s="5">
        <f t="shared" si="124"/>
        <v>0.35019734548573478</v>
      </c>
      <c r="E50" s="5">
        <f t="shared" si="124"/>
        <v>0.33831131635166489</v>
      </c>
      <c r="F50" s="5">
        <f t="shared" si="124"/>
        <v>0.34865456268781791</v>
      </c>
      <c r="G50" s="5">
        <f t="shared" si="124"/>
        <v>0.28705588885736333</v>
      </c>
      <c r="H50" s="5">
        <f t="shared" si="124"/>
        <v>0.39209254263761983</v>
      </c>
      <c r="I50" s="5">
        <f t="shared" si="124"/>
        <v>0.27591573218114263</v>
      </c>
      <c r="J50" s="5">
        <f t="shared" si="124"/>
        <v>0.42681612244818601</v>
      </c>
      <c r="K50" s="5">
        <f t="shared" si="124"/>
        <v>0.41289244008812387</v>
      </c>
      <c r="L50" s="5">
        <f t="shared" si="124"/>
        <v>0.37741213230553727</v>
      </c>
      <c r="M50" s="5">
        <f t="shared" si="124"/>
        <v>0.33678113121558806</v>
      </c>
      <c r="N50" s="5">
        <f t="shared" si="124"/>
        <v>0.43668310564534618</v>
      </c>
      <c r="O50" s="5">
        <f t="shared" si="124"/>
        <v>0.4205898237572353</v>
      </c>
      <c r="P50" s="5">
        <f t="shared" si="124"/>
        <v>0.44333678075868388</v>
      </c>
      <c r="Q50" s="5">
        <f t="shared" si="124"/>
        <v>0.44723702384535169</v>
      </c>
      <c r="R50" s="5">
        <f t="shared" ref="R50:AB50" si="125">1-(R51+R48+R49+R52+R55+R46)</f>
        <v>0.33440764062897665</v>
      </c>
      <c r="S50" s="5">
        <f t="shared" si="125"/>
        <v>0.39890878274341723</v>
      </c>
      <c r="T50" s="5">
        <f t="shared" si="125"/>
        <v>0.20553273403396544</v>
      </c>
      <c r="U50" s="5">
        <f t="shared" si="125"/>
        <v>0.23176783231628373</v>
      </c>
      <c r="V50" s="5">
        <f t="shared" si="125"/>
        <v>0.23439373018009946</v>
      </c>
      <c r="W50" s="5">
        <f t="shared" si="125"/>
        <v>0.29704398305360236</v>
      </c>
      <c r="X50" s="5">
        <f t="shared" si="125"/>
        <v>0.25473472584019252</v>
      </c>
      <c r="Y50" s="5">
        <f t="shared" si="125"/>
        <v>0.2642155215069999</v>
      </c>
      <c r="Z50" s="5">
        <f t="shared" si="125"/>
        <v>0.27820974455033565</v>
      </c>
      <c r="AA50" s="5">
        <f t="shared" si="125"/>
        <v>0.23095796070569818</v>
      </c>
      <c r="AB50" s="5">
        <f t="shared" si="125"/>
        <v>0.30091346462168944</v>
      </c>
      <c r="AC50" s="5"/>
      <c r="AD50" s="5">
        <f t="shared" ref="AD50:AS50" si="126">1-(AD51+AD48+AD49+AD52+AD55+AD46)</f>
        <v>0.26613030724978581</v>
      </c>
      <c r="AE50" s="5">
        <f t="shared" si="126"/>
        <v>0.40385496724971248</v>
      </c>
      <c r="AF50" s="5">
        <f t="shared" si="126"/>
        <v>0.31133857700946377</v>
      </c>
      <c r="AG50" s="5">
        <f t="shared" si="126"/>
        <v>0.33783986842517466</v>
      </c>
      <c r="AH50" s="5">
        <f t="shared" si="126"/>
        <v>0.29600308743626247</v>
      </c>
      <c r="AI50" s="5">
        <f t="shared" si="126"/>
        <v>0.32948118523551395</v>
      </c>
      <c r="AJ50" s="5">
        <f t="shared" si="126"/>
        <v>0.26473259634970092</v>
      </c>
      <c r="AK50" s="5">
        <f t="shared" si="126"/>
        <v>0.30570039825190032</v>
      </c>
      <c r="AL50" s="5">
        <f t="shared" si="126"/>
        <v>0.33430340870628728</v>
      </c>
      <c r="AM50" s="5">
        <f t="shared" si="126"/>
        <v>0.26406945979291185</v>
      </c>
      <c r="AN50" s="5">
        <f t="shared" si="126"/>
        <v>0.2556707651207174</v>
      </c>
      <c r="AO50" s="5">
        <f t="shared" si="126"/>
        <v>0.26578099836930646</v>
      </c>
      <c r="AP50" s="5">
        <f t="shared" si="126"/>
        <v>0.24325349023605991</v>
      </c>
      <c r="AQ50" s="5">
        <f t="shared" si="126"/>
        <v>0.30372849247549449</v>
      </c>
      <c r="AR50" s="5">
        <f t="shared" si="126"/>
        <v>0.26331214718832785</v>
      </c>
      <c r="AS50" s="5">
        <f t="shared" si="126"/>
        <v>0.25557056244241572</v>
      </c>
      <c r="AT50" s="5">
        <f t="shared" ref="AT50:BC50" si="127">1-(AT51+AT48+AT49+AT52+AT55+AT46)</f>
        <v>0.26590829604583355</v>
      </c>
      <c r="AU50" s="5">
        <f t="shared" si="127"/>
        <v>0.30210124150733642</v>
      </c>
      <c r="AV50" s="5">
        <f t="shared" si="127"/>
        <v>0.33344783883852891</v>
      </c>
      <c r="AW50" s="5">
        <f t="shared" si="127"/>
        <v>0.37218827810168653</v>
      </c>
      <c r="AX50" s="5">
        <f t="shared" si="127"/>
        <v>0.30090424127501236</v>
      </c>
      <c r="AY50" s="5">
        <f t="shared" si="127"/>
        <v>0.26895692862233544</v>
      </c>
      <c r="AZ50" s="5">
        <f t="shared" si="127"/>
        <v>0.30966141749834275</v>
      </c>
      <c r="BA50" s="5">
        <f t="shared" si="127"/>
        <v>0.31277128739977533</v>
      </c>
      <c r="BB50" s="5">
        <f t="shared" si="127"/>
        <v>0.26910770242719328</v>
      </c>
      <c r="BC50" s="5">
        <f t="shared" si="127"/>
        <v>0.28040043222681754</v>
      </c>
      <c r="BE50" s="5">
        <f>1-(BE51+BE48+BE49+BE52+BE55+BE46)</f>
        <v>0.31898848068528096</v>
      </c>
      <c r="BF50" s="5">
        <f>1-(BF51+BF48+BF49+BF52+BF55+BF46)</f>
        <v>0.29011765356424579</v>
      </c>
      <c r="BG50" s="5">
        <f>1-(BG51+BG48+BG49+BG52+BG55+BG46)</f>
        <v>0.31582243681924937</v>
      </c>
      <c r="BH50" s="5"/>
    </row>
    <row r="51" spans="1:74" s="4" customFormat="1">
      <c r="A51" s="51" t="s">
        <v>381</v>
      </c>
      <c r="B51" s="5">
        <f t="shared" ref="B51:Q51" si="128">B20-(B55+B52+B48+B49+2*B46)</f>
        <v>0.45040140896762398</v>
      </c>
      <c r="C51" s="5">
        <f t="shared" si="128"/>
        <v>0.47410247564340069</v>
      </c>
      <c r="D51" s="5">
        <f t="shared" si="128"/>
        <v>0.50229843034991983</v>
      </c>
      <c r="E51" s="5">
        <f t="shared" si="128"/>
        <v>0.52156940307718813</v>
      </c>
      <c r="F51" s="5">
        <f t="shared" si="128"/>
        <v>0.5499367529171616</v>
      </c>
      <c r="G51" s="5">
        <f t="shared" si="128"/>
        <v>0.55664601306185624</v>
      </c>
      <c r="H51" s="5">
        <f t="shared" si="128"/>
        <v>0.49145797158932575</v>
      </c>
      <c r="I51" s="5">
        <f t="shared" si="128"/>
        <v>0.53698724057078406</v>
      </c>
      <c r="J51" s="5">
        <f t="shared" si="128"/>
        <v>0.46962467917252171</v>
      </c>
      <c r="K51" s="5">
        <f t="shared" si="128"/>
        <v>0.47270465551917756</v>
      </c>
      <c r="L51" s="5">
        <f t="shared" si="128"/>
        <v>0.51719870040225269</v>
      </c>
      <c r="M51" s="5">
        <f t="shared" si="128"/>
        <v>0.55571154322828897</v>
      </c>
      <c r="N51" s="5">
        <f t="shared" si="128"/>
        <v>0.48213222097394481</v>
      </c>
      <c r="O51" s="5">
        <f t="shared" si="128"/>
        <v>0.47412673690797624</v>
      </c>
      <c r="P51" s="5">
        <f t="shared" si="128"/>
        <v>0.46428384922784455</v>
      </c>
      <c r="Q51" s="5">
        <f t="shared" si="128"/>
        <v>0.4628794386814038</v>
      </c>
      <c r="R51" s="5">
        <f t="shared" ref="R51:AB51" si="129">R20-(R55+R52+R48+R49+2*R46)</f>
        <v>0.55325612655721235</v>
      </c>
      <c r="S51" s="5">
        <f t="shared" si="129"/>
        <v>0.47995345858724697</v>
      </c>
      <c r="T51" s="5">
        <f t="shared" si="129"/>
        <v>0.54413925695777832</v>
      </c>
      <c r="U51" s="5">
        <f t="shared" si="129"/>
        <v>0.53580895562870334</v>
      </c>
      <c r="V51" s="5">
        <f t="shared" si="129"/>
        <v>0.53006958094010703</v>
      </c>
      <c r="W51" s="5">
        <f t="shared" si="129"/>
        <v>0.56214319657323397</v>
      </c>
      <c r="X51" s="5">
        <f t="shared" si="129"/>
        <v>0.58472618260846076</v>
      </c>
      <c r="Y51" s="5">
        <f t="shared" si="129"/>
        <v>0.54756260571572779</v>
      </c>
      <c r="Z51" s="5">
        <f t="shared" si="129"/>
        <v>0.63049999518950917</v>
      </c>
      <c r="AA51" s="5">
        <f t="shared" si="129"/>
        <v>0.61785705950417247</v>
      </c>
      <c r="AB51" s="5">
        <f t="shared" si="129"/>
        <v>0.56308193354910485</v>
      </c>
      <c r="AC51" s="5"/>
      <c r="AD51" s="5">
        <f t="shared" ref="AD51:AS51" si="130">AD20-(AD55+AD52+AD48+AD49+2*AD46)</f>
        <v>0.56692363018685799</v>
      </c>
      <c r="AE51" s="5">
        <f t="shared" si="130"/>
        <v>0.47558227574755207</v>
      </c>
      <c r="AF51" s="5">
        <f t="shared" si="130"/>
        <v>0.49061161841437329</v>
      </c>
      <c r="AG51" s="5">
        <f t="shared" si="130"/>
        <v>0.50689151848463343</v>
      </c>
      <c r="AH51" s="5">
        <f t="shared" si="130"/>
        <v>0.53576081777117623</v>
      </c>
      <c r="AI51" s="5">
        <f t="shared" si="130"/>
        <v>0.51412490983107406</v>
      </c>
      <c r="AJ51" s="5">
        <f t="shared" si="130"/>
        <v>0.53419001662880272</v>
      </c>
      <c r="AK51" s="5">
        <f t="shared" si="130"/>
        <v>0.48368754481474929</v>
      </c>
      <c r="AL51" s="5">
        <f t="shared" si="130"/>
        <v>0.51109871786043248</v>
      </c>
      <c r="AM51" s="5">
        <f t="shared" si="130"/>
        <v>0.54501069324844387</v>
      </c>
      <c r="AN51" s="5">
        <f t="shared" si="130"/>
        <v>0.54406549223590972</v>
      </c>
      <c r="AO51" s="5">
        <f t="shared" si="130"/>
        <v>0.56309199424769596</v>
      </c>
      <c r="AP51" s="5">
        <f t="shared" si="130"/>
        <v>0.58013284723568592</v>
      </c>
      <c r="AQ51" s="5">
        <f t="shared" si="130"/>
        <v>0.52499345955611276</v>
      </c>
      <c r="AR51" s="5">
        <f t="shared" si="130"/>
        <v>0.52105449671297288</v>
      </c>
      <c r="AS51" s="5">
        <f t="shared" si="130"/>
        <v>0.54337985083944129</v>
      </c>
      <c r="AT51" s="5">
        <f t="shared" ref="AT51:BC51" si="131">AT20-(AT55+AT52+AT48+AT49+2*AT46)</f>
        <v>0.55091736440513461</v>
      </c>
      <c r="AU51" s="5">
        <f t="shared" si="131"/>
        <v>0.52418790272009219</v>
      </c>
      <c r="AV51" s="5">
        <f t="shared" si="131"/>
        <v>0.52368135995978027</v>
      </c>
      <c r="AW51" s="5">
        <f t="shared" si="131"/>
        <v>0.48759699368316339</v>
      </c>
      <c r="AX51" s="5">
        <f t="shared" si="131"/>
        <v>0.5099443233261608</v>
      </c>
      <c r="AY51" s="5">
        <f t="shared" si="131"/>
        <v>0.54427524257838478</v>
      </c>
      <c r="AZ51" s="5">
        <f t="shared" si="131"/>
        <v>0.5124044672677105</v>
      </c>
      <c r="BA51" s="5">
        <f t="shared" si="131"/>
        <v>0.51613491242764631</v>
      </c>
      <c r="BB51" s="5">
        <f t="shared" si="131"/>
        <v>0.51714665504941681</v>
      </c>
      <c r="BC51" s="5">
        <f t="shared" si="131"/>
        <v>0.58399554394259579</v>
      </c>
      <c r="BE51" s="5">
        <f>BE20-(BE55+BE52+BE48+BE49+2*BE46)</f>
        <v>0.52529854502773465</v>
      </c>
      <c r="BF51" s="5">
        <f>BF20-(BF55+BF52+BF48+BF49+2*BF46)</f>
        <v>0.52997212709148489</v>
      </c>
      <c r="BG51" s="5">
        <f>BG20-(BG55+BG52+BG48+BG49+2*BG46)</f>
        <v>0.52014512520181921</v>
      </c>
      <c r="BH51" s="5"/>
    </row>
    <row r="52" spans="1:74" s="4" customFormat="1">
      <c r="A52" s="51" t="s">
        <v>382</v>
      </c>
      <c r="B52" s="5">
        <f t="shared" ref="B52:Q52" si="132">IF((B47-2)&gt;0,B47-2,0)</f>
        <v>0</v>
      </c>
      <c r="C52" s="5">
        <f t="shared" si="132"/>
        <v>0</v>
      </c>
      <c r="D52" s="5">
        <f t="shared" si="132"/>
        <v>0</v>
      </c>
      <c r="E52" s="5">
        <f t="shared" si="132"/>
        <v>0</v>
      </c>
      <c r="F52" s="5">
        <f t="shared" si="132"/>
        <v>0</v>
      </c>
      <c r="G52" s="5">
        <f t="shared" si="132"/>
        <v>0</v>
      </c>
      <c r="H52" s="5">
        <f t="shared" si="132"/>
        <v>0</v>
      </c>
      <c r="I52" s="5">
        <f t="shared" si="132"/>
        <v>0</v>
      </c>
      <c r="J52" s="5">
        <f t="shared" si="132"/>
        <v>0</v>
      </c>
      <c r="K52" s="5">
        <f t="shared" si="132"/>
        <v>0</v>
      </c>
      <c r="L52" s="5">
        <f t="shared" si="132"/>
        <v>0</v>
      </c>
      <c r="M52" s="5">
        <f t="shared" si="132"/>
        <v>0</v>
      </c>
      <c r="N52" s="5">
        <f t="shared" si="132"/>
        <v>0</v>
      </c>
      <c r="O52" s="5">
        <f t="shared" si="132"/>
        <v>0</v>
      </c>
      <c r="P52" s="5">
        <f t="shared" si="132"/>
        <v>0</v>
      </c>
      <c r="Q52" s="5">
        <f t="shared" si="132"/>
        <v>0</v>
      </c>
      <c r="R52" s="5">
        <f t="shared" ref="R52:AB52" si="133">IF((R47-2)&gt;0,R47-2,0)</f>
        <v>0</v>
      </c>
      <c r="S52" s="5">
        <f t="shared" si="133"/>
        <v>0</v>
      </c>
      <c r="T52" s="5">
        <f t="shared" si="133"/>
        <v>0</v>
      </c>
      <c r="U52" s="5">
        <f t="shared" si="133"/>
        <v>0</v>
      </c>
      <c r="V52" s="5">
        <f t="shared" si="133"/>
        <v>0</v>
      </c>
      <c r="W52" s="5">
        <f t="shared" si="133"/>
        <v>0</v>
      </c>
      <c r="X52" s="5">
        <f t="shared" si="133"/>
        <v>0</v>
      </c>
      <c r="Y52" s="5">
        <f t="shared" si="133"/>
        <v>0</v>
      </c>
      <c r="Z52" s="5">
        <f t="shared" si="133"/>
        <v>0</v>
      </c>
      <c r="AA52" s="5">
        <f t="shared" si="133"/>
        <v>0</v>
      </c>
      <c r="AB52" s="5">
        <f t="shared" si="133"/>
        <v>0</v>
      </c>
      <c r="AC52" s="5"/>
      <c r="AD52" s="5">
        <f t="shared" ref="AD52:AS52" si="134">IF((AD47-2)&gt;0,AD47-2,0)</f>
        <v>0</v>
      </c>
      <c r="AE52" s="5">
        <f t="shared" si="134"/>
        <v>0</v>
      </c>
      <c r="AF52" s="5">
        <f t="shared" si="134"/>
        <v>0</v>
      </c>
      <c r="AG52" s="5">
        <f t="shared" si="134"/>
        <v>0</v>
      </c>
      <c r="AH52" s="5">
        <f t="shared" si="134"/>
        <v>0</v>
      </c>
      <c r="AI52" s="5">
        <f t="shared" si="134"/>
        <v>0</v>
      </c>
      <c r="AJ52" s="5">
        <f t="shared" si="134"/>
        <v>0</v>
      </c>
      <c r="AK52" s="5">
        <f t="shared" si="134"/>
        <v>0</v>
      </c>
      <c r="AL52" s="5">
        <f t="shared" si="134"/>
        <v>0</v>
      </c>
      <c r="AM52" s="5">
        <f t="shared" si="134"/>
        <v>0</v>
      </c>
      <c r="AN52" s="5">
        <f t="shared" si="134"/>
        <v>0</v>
      </c>
      <c r="AO52" s="5">
        <f t="shared" si="134"/>
        <v>0</v>
      </c>
      <c r="AP52" s="5">
        <f t="shared" si="134"/>
        <v>0</v>
      </c>
      <c r="AQ52" s="5">
        <f t="shared" si="134"/>
        <v>0</v>
      </c>
      <c r="AR52" s="5">
        <f t="shared" si="134"/>
        <v>0</v>
      </c>
      <c r="AS52" s="5">
        <f t="shared" si="134"/>
        <v>0</v>
      </c>
      <c r="AT52" s="5">
        <f t="shared" ref="AT52:BC52" si="135">IF((AT47-2)&gt;0,AT47-2,0)</f>
        <v>0</v>
      </c>
      <c r="AU52" s="5">
        <f t="shared" si="135"/>
        <v>0</v>
      </c>
      <c r="AV52" s="5">
        <f t="shared" si="135"/>
        <v>0</v>
      </c>
      <c r="AW52" s="5">
        <f t="shared" si="135"/>
        <v>0</v>
      </c>
      <c r="AX52" s="5">
        <f t="shared" si="135"/>
        <v>0</v>
      </c>
      <c r="AY52" s="5">
        <f t="shared" si="135"/>
        <v>0</v>
      </c>
      <c r="AZ52" s="5">
        <f t="shared" si="135"/>
        <v>0</v>
      </c>
      <c r="BA52" s="5">
        <f t="shared" si="135"/>
        <v>0</v>
      </c>
      <c r="BB52" s="5">
        <f t="shared" si="135"/>
        <v>0</v>
      </c>
      <c r="BC52" s="5">
        <f t="shared" si="135"/>
        <v>0</v>
      </c>
      <c r="BE52" s="5">
        <f>IF((BE47-2)&gt;0,BE47-2,0)</f>
        <v>0</v>
      </c>
      <c r="BF52" s="5">
        <f>IF((BF47-2)&gt;0,BF47-2,0)</f>
        <v>0</v>
      </c>
      <c r="BG52" s="5">
        <f>IF((BG47-2)&gt;0,BG47-2,0)</f>
        <v>0</v>
      </c>
      <c r="BH52" s="5"/>
    </row>
    <row r="53" spans="1:74" s="4" customFormat="1">
      <c r="A53" s="51" t="s">
        <v>383</v>
      </c>
      <c r="B53" s="5">
        <f t="shared" ref="B53:Q53" si="136">B50*(B28/(B28+B26))</f>
        <v>0.38268969042579726</v>
      </c>
      <c r="C53" s="5">
        <f t="shared" si="136"/>
        <v>0.36798027997732713</v>
      </c>
      <c r="D53" s="5">
        <f t="shared" si="136"/>
        <v>0.26819090780245108</v>
      </c>
      <c r="E53" s="5">
        <f t="shared" si="136"/>
        <v>0.27392254054836884</v>
      </c>
      <c r="F53" s="5">
        <f t="shared" si="136"/>
        <v>0.27649627761674239</v>
      </c>
      <c r="G53" s="5">
        <f t="shared" si="136"/>
        <v>0.23668893949173261</v>
      </c>
      <c r="H53" s="5">
        <f t="shared" si="136"/>
        <v>0.33533923566852736</v>
      </c>
      <c r="I53" s="5">
        <f t="shared" si="136"/>
        <v>0.21422913289789408</v>
      </c>
      <c r="J53" s="5">
        <f t="shared" si="136"/>
        <v>0.35455119531801871</v>
      </c>
      <c r="K53" s="5">
        <f t="shared" si="136"/>
        <v>0.34418606730879336</v>
      </c>
      <c r="L53" s="5">
        <f t="shared" si="136"/>
        <v>0.31462543743872762</v>
      </c>
      <c r="M53" s="5">
        <f t="shared" si="136"/>
        <v>0.25096645132366885</v>
      </c>
      <c r="N53" s="5">
        <f t="shared" si="136"/>
        <v>0.35120120709194985</v>
      </c>
      <c r="O53" s="5">
        <f t="shared" si="136"/>
        <v>0.32192200100138985</v>
      </c>
      <c r="P53" s="5">
        <f t="shared" si="136"/>
        <v>0.33792703017198811</v>
      </c>
      <c r="Q53" s="5">
        <f t="shared" si="136"/>
        <v>0.34149076469992146</v>
      </c>
      <c r="R53" s="5">
        <f t="shared" ref="R53:AB53" si="137">R50*(R28/(R28+R26))</f>
        <v>0.25481926444184899</v>
      </c>
      <c r="S53" s="5">
        <f t="shared" si="137"/>
        <v>0.30422034387394253</v>
      </c>
      <c r="T53" s="5">
        <f t="shared" si="137"/>
        <v>0.16434194616422235</v>
      </c>
      <c r="U53" s="5">
        <f t="shared" si="137"/>
        <v>0.17942591048297582</v>
      </c>
      <c r="V53" s="5">
        <f t="shared" si="137"/>
        <v>0.18763991508116459</v>
      </c>
      <c r="W53" s="5">
        <f t="shared" si="137"/>
        <v>0.21185033556582253</v>
      </c>
      <c r="X53" s="5">
        <f t="shared" si="137"/>
        <v>0.17494709474352668</v>
      </c>
      <c r="Y53" s="5">
        <f t="shared" si="137"/>
        <v>0.18695202940361666</v>
      </c>
      <c r="Z53" s="5">
        <f t="shared" si="137"/>
        <v>0.19985253977738254</v>
      </c>
      <c r="AA53" s="5">
        <f t="shared" si="137"/>
        <v>0.16003880764356568</v>
      </c>
      <c r="AB53" s="5">
        <f t="shared" si="137"/>
        <v>0.22093778619776622</v>
      </c>
      <c r="AC53" s="5"/>
      <c r="AD53" s="5">
        <f t="shared" ref="AD53:AS53" si="138">AD50*(AD28/(AD28+AD26))</f>
        <v>0.21588866869777423</v>
      </c>
      <c r="AE53" s="5">
        <f t="shared" si="138"/>
        <v>0.34152812736584864</v>
      </c>
      <c r="AF53" s="5">
        <f t="shared" si="138"/>
        <v>0.2482758115852832</v>
      </c>
      <c r="AG53" s="5">
        <f t="shared" si="138"/>
        <v>0.28028502080016426</v>
      </c>
      <c r="AH53" s="5">
        <f t="shared" si="138"/>
        <v>0.24441210274157463</v>
      </c>
      <c r="AI53" s="5">
        <f t="shared" si="138"/>
        <v>0.26580841950824746</v>
      </c>
      <c r="AJ53" s="5">
        <f t="shared" si="138"/>
        <v>0.20841926711413142</v>
      </c>
      <c r="AK53" s="5">
        <f t="shared" si="138"/>
        <v>0.23269249980307694</v>
      </c>
      <c r="AL53" s="5">
        <f t="shared" si="138"/>
        <v>0.27578965665530003</v>
      </c>
      <c r="AM53" s="5">
        <f t="shared" si="138"/>
        <v>0.20967450196387885</v>
      </c>
      <c r="AN53" s="5">
        <f t="shared" si="138"/>
        <v>0.20161494911784739</v>
      </c>
      <c r="AO53" s="5">
        <f t="shared" si="138"/>
        <v>0.21360741655251708</v>
      </c>
      <c r="AP53" s="5">
        <f t="shared" si="138"/>
        <v>0.19582650883652963</v>
      </c>
      <c r="AQ53" s="5">
        <f t="shared" si="138"/>
        <v>0.25039987548467851</v>
      </c>
      <c r="AR53" s="5">
        <f t="shared" si="138"/>
        <v>0.20926248474336576</v>
      </c>
      <c r="AS53" s="5">
        <f t="shared" si="138"/>
        <v>0.18706433105174455</v>
      </c>
      <c r="AT53" s="5">
        <f t="shared" ref="AT53:BC53" si="139">AT50*(AT28/(AT28+AT26))</f>
        <v>0.20359074833117743</v>
      </c>
      <c r="AU53" s="5">
        <f t="shared" si="139"/>
        <v>0.24187303814778402</v>
      </c>
      <c r="AV53" s="5">
        <f t="shared" si="139"/>
        <v>0.27107467209780894</v>
      </c>
      <c r="AW53" s="5">
        <f t="shared" si="139"/>
        <v>0.30885903245544954</v>
      </c>
      <c r="AX53" s="5">
        <f t="shared" si="139"/>
        <v>0.24266320220809948</v>
      </c>
      <c r="AY53" s="5">
        <f t="shared" si="139"/>
        <v>0.2203142258079859</v>
      </c>
      <c r="AZ53" s="5">
        <f t="shared" si="139"/>
        <v>0.25217242261425737</v>
      </c>
      <c r="BA53" s="5">
        <f t="shared" si="139"/>
        <v>0.24898487458150825</v>
      </c>
      <c r="BB53" s="5">
        <f t="shared" si="139"/>
        <v>0.2171175007325897</v>
      </c>
      <c r="BC53" s="5">
        <f t="shared" si="139"/>
        <v>0.21664355639658212</v>
      </c>
      <c r="BE53" s="5">
        <f>BE50*(BE28/(BE28+BE26))</f>
        <v>0.24610894403821748</v>
      </c>
      <c r="BF53" s="5">
        <f>BF50*(BF28/(BF28+BF26))</f>
        <v>0.22366818020617424</v>
      </c>
      <c r="BG53" s="5">
        <f>BG50*(BG28/(BG28+BG26))</f>
        <v>0.24183761751557029</v>
      </c>
      <c r="BH53" s="5"/>
    </row>
    <row r="54" spans="1:74" s="4" customFormat="1">
      <c r="A54" s="51" t="s">
        <v>384</v>
      </c>
      <c r="B54" s="5">
        <f t="shared" ref="B54:Q54" si="140">B50-B53</f>
        <v>7.2907121512816753E-2</v>
      </c>
      <c r="C54" s="5">
        <f t="shared" si="140"/>
        <v>7.9747758746876396E-2</v>
      </c>
      <c r="D54" s="5">
        <f t="shared" si="140"/>
        <v>8.2006437683283695E-2</v>
      </c>
      <c r="E54" s="5">
        <f t="shared" si="140"/>
        <v>6.438877580329605E-2</v>
      </c>
      <c r="F54" s="5">
        <f t="shared" si="140"/>
        <v>7.2158285071075523E-2</v>
      </c>
      <c r="G54" s="5">
        <f t="shared" si="140"/>
        <v>5.0366949365630714E-2</v>
      </c>
      <c r="H54" s="5">
        <f t="shared" si="140"/>
        <v>5.6753306969092476E-2</v>
      </c>
      <c r="I54" s="5">
        <f t="shared" si="140"/>
        <v>6.1686599283248544E-2</v>
      </c>
      <c r="J54" s="5">
        <f t="shared" si="140"/>
        <v>7.22649271301673E-2</v>
      </c>
      <c r="K54" s="5">
        <f t="shared" si="140"/>
        <v>6.8706372779330505E-2</v>
      </c>
      <c r="L54" s="5">
        <f t="shared" si="140"/>
        <v>6.2786694866809656E-2</v>
      </c>
      <c r="M54" s="5">
        <f t="shared" si="140"/>
        <v>8.581467989191921E-2</v>
      </c>
      <c r="N54" s="5">
        <f t="shared" si="140"/>
        <v>8.5481898553396329E-2</v>
      </c>
      <c r="O54" s="5">
        <f t="shared" si="140"/>
        <v>9.8667822755845458E-2</v>
      </c>
      <c r="P54" s="5">
        <f t="shared" si="140"/>
        <v>0.10540975058669577</v>
      </c>
      <c r="Q54" s="5">
        <f t="shared" si="140"/>
        <v>0.10574625914543023</v>
      </c>
      <c r="R54" s="5">
        <f t="shared" ref="R54:AB54" si="141">R50-R53</f>
        <v>7.9588376187127663E-2</v>
      </c>
      <c r="S54" s="5">
        <f t="shared" si="141"/>
        <v>9.46884388694747E-2</v>
      </c>
      <c r="T54" s="5">
        <f t="shared" si="141"/>
        <v>4.119078786974309E-2</v>
      </c>
      <c r="U54" s="5">
        <f t="shared" si="141"/>
        <v>5.2341921833307908E-2</v>
      </c>
      <c r="V54" s="5">
        <f t="shared" si="141"/>
        <v>4.6753815098934864E-2</v>
      </c>
      <c r="W54" s="5">
        <f t="shared" si="141"/>
        <v>8.5193647487779828E-2</v>
      </c>
      <c r="X54" s="5">
        <f t="shared" si="141"/>
        <v>7.978763109666584E-2</v>
      </c>
      <c r="Y54" s="5">
        <f t="shared" si="141"/>
        <v>7.7263492103383236E-2</v>
      </c>
      <c r="Z54" s="5">
        <f t="shared" si="141"/>
        <v>7.8357204772953104E-2</v>
      </c>
      <c r="AA54" s="5">
        <f t="shared" si="141"/>
        <v>7.0919153062132506E-2</v>
      </c>
      <c r="AB54" s="5">
        <f t="shared" si="141"/>
        <v>7.9975678423923224E-2</v>
      </c>
      <c r="AC54" s="5"/>
      <c r="AD54" s="5">
        <f t="shared" ref="AD54:AS54" si="142">AD50-AD53</f>
        <v>5.024163855201158E-2</v>
      </c>
      <c r="AE54" s="5">
        <f t="shared" si="142"/>
        <v>6.2326839883863838E-2</v>
      </c>
      <c r="AF54" s="5">
        <f t="shared" si="142"/>
        <v>6.3062765424180572E-2</v>
      </c>
      <c r="AG54" s="5">
        <f t="shared" si="142"/>
        <v>5.7554847625010397E-2</v>
      </c>
      <c r="AH54" s="5">
        <f t="shared" si="142"/>
        <v>5.1590984694687841E-2</v>
      </c>
      <c r="AI54" s="5">
        <f t="shared" si="142"/>
        <v>6.3672765727266489E-2</v>
      </c>
      <c r="AJ54" s="5">
        <f t="shared" si="142"/>
        <v>5.6313329235569504E-2</v>
      </c>
      <c r="AK54" s="5">
        <f t="shared" si="142"/>
        <v>7.3007898448823383E-2</v>
      </c>
      <c r="AL54" s="5">
        <f t="shared" si="142"/>
        <v>5.8513752050987244E-2</v>
      </c>
      <c r="AM54" s="5">
        <f t="shared" si="142"/>
        <v>5.4394957829033003E-2</v>
      </c>
      <c r="AN54" s="5">
        <f t="shared" si="142"/>
        <v>5.4055816002870016E-2</v>
      </c>
      <c r="AO54" s="5">
        <f t="shared" si="142"/>
        <v>5.2173581816789383E-2</v>
      </c>
      <c r="AP54" s="5">
        <f t="shared" si="142"/>
        <v>4.7426981399530277E-2</v>
      </c>
      <c r="AQ54" s="5">
        <f t="shared" si="142"/>
        <v>5.332861699081598E-2</v>
      </c>
      <c r="AR54" s="5">
        <f t="shared" si="142"/>
        <v>5.4049662444962093E-2</v>
      </c>
      <c r="AS54" s="5">
        <f t="shared" si="142"/>
        <v>6.8506231390671163E-2</v>
      </c>
      <c r="AT54" s="5">
        <f t="shared" ref="AT54:BC54" si="143">AT50-AT53</f>
        <v>6.2317547714656113E-2</v>
      </c>
      <c r="AU54" s="5">
        <f t="shared" si="143"/>
        <v>6.0228203359552396E-2</v>
      </c>
      <c r="AV54" s="5">
        <f t="shared" si="143"/>
        <v>6.2373166740719965E-2</v>
      </c>
      <c r="AW54" s="5">
        <f t="shared" si="143"/>
        <v>6.3329245646236987E-2</v>
      </c>
      <c r="AX54" s="5">
        <f t="shared" si="143"/>
        <v>5.8241039066912886E-2</v>
      </c>
      <c r="AY54" s="5">
        <f t="shared" si="143"/>
        <v>4.8642702814349542E-2</v>
      </c>
      <c r="AZ54" s="5">
        <f t="shared" si="143"/>
        <v>5.7488994884085376E-2</v>
      </c>
      <c r="BA54" s="5">
        <f t="shared" si="143"/>
        <v>6.378641281826708E-2</v>
      </c>
      <c r="BB54" s="5">
        <f t="shared" si="143"/>
        <v>5.1990201694603583E-2</v>
      </c>
      <c r="BC54" s="5">
        <f t="shared" si="143"/>
        <v>6.3756875830235427E-2</v>
      </c>
      <c r="BE54" s="5">
        <f>BE50-BE53</f>
        <v>7.2879536647063481E-2</v>
      </c>
      <c r="BF54" s="5">
        <f>BF50-BF53</f>
        <v>6.6449473358071554E-2</v>
      </c>
      <c r="BG54" s="5">
        <f>BG50-BG53</f>
        <v>7.3984819303679089E-2</v>
      </c>
      <c r="BH54" s="5"/>
    </row>
    <row r="55" spans="1:74" s="4" customFormat="1">
      <c r="A55" s="51" t="s">
        <v>385</v>
      </c>
      <c r="B55" s="5">
        <f t="shared" ref="B55:Q55" si="144">B34/B45</f>
        <v>6.9852335204004634E-2</v>
      </c>
      <c r="C55" s="5">
        <f t="shared" si="144"/>
        <v>5.9857480102133508E-2</v>
      </c>
      <c r="D55" s="5">
        <f t="shared" si="144"/>
        <v>0.12193250508016151</v>
      </c>
      <c r="E55" s="5">
        <f t="shared" si="144"/>
        <v>0.11256481510938438</v>
      </c>
      <c r="F55" s="5">
        <f t="shared" si="144"/>
        <v>8.3479154153016391E-2</v>
      </c>
      <c r="G55" s="5">
        <f t="shared" si="144"/>
        <v>0.13264555498943489</v>
      </c>
      <c r="H55" s="5">
        <f t="shared" si="144"/>
        <v>9.6620707822493407E-2</v>
      </c>
      <c r="I55" s="5">
        <f t="shared" si="144"/>
        <v>0.15765863684693548</v>
      </c>
      <c r="J55" s="5">
        <f t="shared" si="144"/>
        <v>8.601979715971815E-2</v>
      </c>
      <c r="K55" s="5">
        <f t="shared" si="144"/>
        <v>9.334024517441708E-2</v>
      </c>
      <c r="L55" s="5">
        <f t="shared" si="144"/>
        <v>8.4842059880522458E-2</v>
      </c>
      <c r="M55" s="5">
        <f t="shared" si="144"/>
        <v>7.2216228713574179E-2</v>
      </c>
      <c r="N55" s="5">
        <f t="shared" si="144"/>
        <v>5.7618364057884702E-2</v>
      </c>
      <c r="O55" s="5">
        <f t="shared" si="144"/>
        <v>7.3848970218530791E-2</v>
      </c>
      <c r="P55" s="5">
        <f t="shared" si="144"/>
        <v>6.4911342225633023E-2</v>
      </c>
      <c r="Q55" s="5">
        <f t="shared" si="144"/>
        <v>5.1735967907083083E-2</v>
      </c>
      <c r="R55" s="5">
        <f t="shared" ref="R55:AB55" si="145">R34/R45</f>
        <v>7.3999304026619084E-2</v>
      </c>
      <c r="S55" s="5">
        <f t="shared" si="145"/>
        <v>8.4948640863926672E-2</v>
      </c>
      <c r="T55" s="5">
        <f t="shared" si="145"/>
        <v>0.20948407023734816</v>
      </c>
      <c r="U55" s="5">
        <f t="shared" si="145"/>
        <v>0.19194623985346285</v>
      </c>
      <c r="V55" s="5">
        <f t="shared" si="145"/>
        <v>0.19132798246498675</v>
      </c>
      <c r="W55" s="5">
        <f t="shared" si="145"/>
        <v>0.10559822219516503</v>
      </c>
      <c r="X55" s="5">
        <f t="shared" si="145"/>
        <v>0.11677859983193543</v>
      </c>
      <c r="Y55" s="5">
        <f t="shared" si="145"/>
        <v>0.14520471916069988</v>
      </c>
      <c r="Z55" s="5">
        <f t="shared" si="145"/>
        <v>5.7803466612384093E-2</v>
      </c>
      <c r="AA55" s="5">
        <f t="shared" si="145"/>
        <v>0.11535481634861257</v>
      </c>
      <c r="AB55" s="5">
        <f t="shared" si="145"/>
        <v>0.10120039494429353</v>
      </c>
      <c r="AC55" s="5"/>
      <c r="AD55" s="5">
        <f t="shared" ref="AD55:AS55" si="146">AD34/AD45</f>
        <v>0.1307376197260334</v>
      </c>
      <c r="AE55" s="5">
        <f t="shared" si="146"/>
        <v>7.2721403657076439E-2</v>
      </c>
      <c r="AF55" s="5">
        <f t="shared" si="146"/>
        <v>0.17109395144788156</v>
      </c>
      <c r="AG55" s="5">
        <f t="shared" si="146"/>
        <v>0.13697343263547354</v>
      </c>
      <c r="AH55" s="5">
        <f t="shared" si="146"/>
        <v>0.14378104774266939</v>
      </c>
      <c r="AI55" s="5">
        <f t="shared" si="146"/>
        <v>0.13982451336166718</v>
      </c>
      <c r="AJ55" s="5">
        <f t="shared" si="146"/>
        <v>0.17506412558527415</v>
      </c>
      <c r="AK55" s="5">
        <f t="shared" si="146"/>
        <v>0.17237448274192158</v>
      </c>
      <c r="AL55" s="5">
        <f t="shared" si="146"/>
        <v>0.13251598205961326</v>
      </c>
      <c r="AM55" s="5">
        <f t="shared" si="146"/>
        <v>0.16287127355999356</v>
      </c>
      <c r="AN55" s="5">
        <f t="shared" si="146"/>
        <v>0.17840892841316286</v>
      </c>
      <c r="AO55" s="5">
        <f t="shared" si="146"/>
        <v>0.14910798769992614</v>
      </c>
      <c r="AP55" s="5">
        <f t="shared" si="146"/>
        <v>0.1487238760432614</v>
      </c>
      <c r="AQ55" s="5">
        <f t="shared" si="146"/>
        <v>0.14345194117267845</v>
      </c>
      <c r="AR55" s="5">
        <f t="shared" si="146"/>
        <v>0.18161804644363852</v>
      </c>
      <c r="AS55" s="5">
        <f t="shared" si="146"/>
        <v>0.15955292327750906</v>
      </c>
      <c r="AT55" s="5">
        <f t="shared" ref="AT55:BC55" si="147">AT34/AT45</f>
        <v>0.15893240523215155</v>
      </c>
      <c r="AU55" s="5">
        <f t="shared" si="147"/>
        <v>0.14478916148640453</v>
      </c>
      <c r="AV55" s="5">
        <f t="shared" si="147"/>
        <v>0.12164192346720583</v>
      </c>
      <c r="AW55" s="5">
        <f t="shared" si="147"/>
        <v>0.1192678289886805</v>
      </c>
      <c r="AX55" s="5">
        <f t="shared" si="147"/>
        <v>0.16932159086542875</v>
      </c>
      <c r="AY55" s="5">
        <f t="shared" si="147"/>
        <v>0.16248878722553622</v>
      </c>
      <c r="AZ55" s="5">
        <f t="shared" si="147"/>
        <v>0.1602636541424248</v>
      </c>
      <c r="BA55" s="5">
        <f t="shared" si="147"/>
        <v>0.1443768175838068</v>
      </c>
      <c r="BB55" s="5">
        <f t="shared" si="147"/>
        <v>0.18624117255904157</v>
      </c>
      <c r="BC55" s="5">
        <f t="shared" si="147"/>
        <v>0.11085780002746291</v>
      </c>
      <c r="BE55" s="5">
        <f>BE34/BE45</f>
        <v>0.14054910874797544</v>
      </c>
      <c r="BF55" s="5">
        <f>BF34/BF45</f>
        <v>0.16156437144837649</v>
      </c>
      <c r="BG55" s="5">
        <f>BG34/BG45</f>
        <v>0.14131885995849794</v>
      </c>
      <c r="BH55" s="5"/>
    </row>
    <row r="56" spans="1:74" s="4" customFormat="1">
      <c r="A56" s="51" t="s">
        <v>386</v>
      </c>
      <c r="B56" s="5">
        <f t="shared" ref="B56:Q56" si="148">B49+B48+B46</f>
        <v>2.4149443889757372E-2</v>
      </c>
      <c r="C56" s="5">
        <f t="shared" si="148"/>
        <v>1.831200553026233E-2</v>
      </c>
      <c r="D56" s="5">
        <f t="shared" si="148"/>
        <v>2.5571719084183906E-2</v>
      </c>
      <c r="E56" s="5">
        <f t="shared" si="148"/>
        <v>2.7554465461762743E-2</v>
      </c>
      <c r="F56" s="5">
        <f t="shared" si="148"/>
        <v>1.7929530242004062E-2</v>
      </c>
      <c r="G56" s="5">
        <f t="shared" si="148"/>
        <v>2.3652543091345665E-2</v>
      </c>
      <c r="H56" s="5">
        <f t="shared" si="148"/>
        <v>1.9828777950560917E-2</v>
      </c>
      <c r="I56" s="5">
        <f t="shared" si="148"/>
        <v>2.9438390401137847E-2</v>
      </c>
      <c r="J56" s="5">
        <f t="shared" si="148"/>
        <v>1.7539401219574185E-2</v>
      </c>
      <c r="K56" s="5">
        <f t="shared" si="148"/>
        <v>2.1062659218281498E-2</v>
      </c>
      <c r="L56" s="5">
        <f t="shared" si="148"/>
        <v>2.054710741168753E-2</v>
      </c>
      <c r="M56" s="5">
        <f t="shared" si="148"/>
        <v>3.5291096842548768E-2</v>
      </c>
      <c r="N56" s="5">
        <f t="shared" si="148"/>
        <v>2.3566309322824313E-2</v>
      </c>
      <c r="O56" s="5">
        <f t="shared" si="148"/>
        <v>3.1434469116257691E-2</v>
      </c>
      <c r="P56" s="5">
        <f t="shared" si="148"/>
        <v>2.7468027787838561E-2</v>
      </c>
      <c r="Q56" s="5">
        <f t="shared" si="148"/>
        <v>3.8147569566161409E-2</v>
      </c>
      <c r="R56" s="5">
        <f t="shared" ref="R56:AB56" si="149">R49+R48+R46</f>
        <v>3.8336928787191929E-2</v>
      </c>
      <c r="S56" s="5">
        <f t="shared" si="149"/>
        <v>3.6189117805409128E-2</v>
      </c>
      <c r="T56" s="5">
        <f t="shared" si="149"/>
        <v>4.0843938770908188E-2</v>
      </c>
      <c r="U56" s="5">
        <f t="shared" si="149"/>
        <v>4.0476972201550193E-2</v>
      </c>
      <c r="V56" s="5">
        <f t="shared" si="149"/>
        <v>4.42087064148068E-2</v>
      </c>
      <c r="W56" s="5">
        <f t="shared" si="149"/>
        <v>3.5214598177998692E-2</v>
      </c>
      <c r="X56" s="5">
        <f t="shared" si="149"/>
        <v>4.3760491719411293E-2</v>
      </c>
      <c r="Y56" s="5">
        <f t="shared" si="149"/>
        <v>4.3017153616572407E-2</v>
      </c>
      <c r="Z56" s="5">
        <f t="shared" si="149"/>
        <v>3.3486793647771081E-2</v>
      </c>
      <c r="AA56" s="5">
        <f t="shared" si="149"/>
        <v>3.5830163441516807E-2</v>
      </c>
      <c r="AB56" s="5">
        <f t="shared" si="149"/>
        <v>3.4804206884912141E-2</v>
      </c>
      <c r="AC56" s="5"/>
      <c r="AD56" s="5">
        <f t="shared" ref="AD56:AS56" si="150">AD49+AD48+AD46</f>
        <v>3.6208442837322816E-2</v>
      </c>
      <c r="AE56" s="5">
        <f t="shared" si="150"/>
        <v>4.7841353345659018E-2</v>
      </c>
      <c r="AF56" s="5">
        <f t="shared" si="150"/>
        <v>2.6955853128281398E-2</v>
      </c>
      <c r="AG56" s="5">
        <f t="shared" si="150"/>
        <v>1.829518045471832E-2</v>
      </c>
      <c r="AH56" s="5">
        <f t="shared" si="150"/>
        <v>2.4455047049891855E-2</v>
      </c>
      <c r="AI56" s="5">
        <f t="shared" si="150"/>
        <v>1.6569391571744779E-2</v>
      </c>
      <c r="AJ56" s="5">
        <f t="shared" si="150"/>
        <v>2.6013261436222197E-2</v>
      </c>
      <c r="AK56" s="5">
        <f t="shared" si="150"/>
        <v>3.8237574191428793E-2</v>
      </c>
      <c r="AL56" s="5">
        <f t="shared" si="150"/>
        <v>2.2081891373667003E-2</v>
      </c>
      <c r="AM56" s="5">
        <f t="shared" si="150"/>
        <v>2.8048573398650727E-2</v>
      </c>
      <c r="AN56" s="5">
        <f t="shared" si="150"/>
        <v>2.1854814230209962E-2</v>
      </c>
      <c r="AO56" s="5">
        <f t="shared" si="150"/>
        <v>2.2019019683071354E-2</v>
      </c>
      <c r="AP56" s="5">
        <f t="shared" si="150"/>
        <v>2.7889786484992771E-2</v>
      </c>
      <c r="AQ56" s="5">
        <f t="shared" si="150"/>
        <v>2.7826106795714258E-2</v>
      </c>
      <c r="AR56" s="5">
        <f t="shared" si="150"/>
        <v>3.4015309655060777E-2</v>
      </c>
      <c r="AS56" s="5">
        <f t="shared" si="150"/>
        <v>4.1496663440633984E-2</v>
      </c>
      <c r="AT56" s="5">
        <f t="shared" ref="AT56:BC56" si="151">AT49+AT48+AT46</f>
        <v>2.4241934316880178E-2</v>
      </c>
      <c r="AU56" s="5">
        <f t="shared" si="151"/>
        <v>2.8921694286166793E-2</v>
      </c>
      <c r="AV56" s="5">
        <f t="shared" si="151"/>
        <v>2.122887773448499E-2</v>
      </c>
      <c r="AW56" s="5">
        <f t="shared" si="151"/>
        <v>2.0946899226469619E-2</v>
      </c>
      <c r="AX56" s="5">
        <f t="shared" si="151"/>
        <v>1.9829844533398013E-2</v>
      </c>
      <c r="AY56" s="5">
        <f t="shared" si="151"/>
        <v>2.4279041573743526E-2</v>
      </c>
      <c r="AZ56" s="5">
        <f t="shared" si="151"/>
        <v>1.7670461091521952E-2</v>
      </c>
      <c r="BA56" s="5">
        <f t="shared" si="151"/>
        <v>2.6716982588771584E-2</v>
      </c>
      <c r="BB56" s="5">
        <f t="shared" si="151"/>
        <v>2.750446996434832E-2</v>
      </c>
      <c r="BC56" s="5">
        <f t="shared" si="151"/>
        <v>2.4746223803123676E-2</v>
      </c>
      <c r="BE56" s="5">
        <f>BE49+BE48+BE46</f>
        <v>1.5163865539008904E-2</v>
      </c>
      <c r="BF56" s="5">
        <f>BF49+BF48+BF46</f>
        <v>1.8345847895892817E-2</v>
      </c>
      <c r="BG56" s="5">
        <f>BG49+BG48+BG46</f>
        <v>2.2713578020433597E-2</v>
      </c>
      <c r="BH56" s="5"/>
    </row>
    <row r="57" spans="1:74" s="87" customFormat="1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70"/>
      <c r="X57" s="70"/>
      <c r="Y57" s="70"/>
      <c r="Z57" s="70"/>
      <c r="AA57" s="70"/>
      <c r="AB57" s="86"/>
      <c r="AC57" s="86"/>
      <c r="AD57" s="70"/>
      <c r="AE57" s="70"/>
      <c r="AF57" s="70"/>
      <c r="AG57" s="70"/>
      <c r="AH57" s="70"/>
      <c r="AI57" s="86"/>
      <c r="AJ57" s="86"/>
      <c r="AK57" s="70"/>
      <c r="AL57" s="70"/>
      <c r="AM57" s="70"/>
      <c r="AN57" s="70"/>
      <c r="AO57" s="70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70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1:74" s="87" customFormat="1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70"/>
      <c r="X58" s="70"/>
      <c r="Y58" s="70"/>
      <c r="Z58" s="70"/>
      <c r="AA58" s="70"/>
      <c r="AB58" s="86"/>
      <c r="AC58" s="86"/>
      <c r="AD58" s="70"/>
      <c r="AE58" s="70"/>
      <c r="AF58" s="70"/>
      <c r="AG58" s="70"/>
      <c r="AH58" s="70"/>
      <c r="AI58" s="86"/>
      <c r="AJ58" s="86"/>
      <c r="AK58" s="70"/>
      <c r="AL58" s="70"/>
      <c r="AM58" s="70"/>
      <c r="AN58" s="70"/>
      <c r="AO58" s="70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</row>
    <row r="59" spans="1:74" s="87" customForma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70"/>
      <c r="X59" s="70"/>
      <c r="Y59" s="70"/>
      <c r="Z59" s="70"/>
      <c r="AA59" s="70"/>
      <c r="AB59" s="86"/>
      <c r="AC59" s="86"/>
      <c r="AD59" s="70"/>
      <c r="AE59" s="70"/>
      <c r="AF59" s="70"/>
      <c r="AG59" s="70"/>
      <c r="AH59" s="70"/>
      <c r="AI59" s="86"/>
      <c r="AJ59" s="86"/>
      <c r="AK59" s="70"/>
      <c r="AL59" s="70"/>
      <c r="AM59" s="70"/>
      <c r="AN59" s="70"/>
      <c r="AO59" s="70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1:74" s="52" customFormat="1">
      <c r="A60" s="89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  <c r="X60" s="83"/>
      <c r="Y60" s="83"/>
      <c r="Z60" s="83"/>
      <c r="AA60" s="83"/>
      <c r="AB60" s="82"/>
      <c r="AC60" s="82"/>
      <c r="AD60" s="83"/>
      <c r="AE60" s="83"/>
      <c r="AF60" s="83"/>
      <c r="AG60" s="83"/>
      <c r="AH60" s="83"/>
      <c r="AI60" s="82"/>
      <c r="AJ60" s="82"/>
      <c r="AK60" s="83"/>
      <c r="AL60" s="83"/>
      <c r="AM60" s="83"/>
      <c r="AN60" s="83"/>
      <c r="AO60" s="83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</row>
    <row r="61" spans="1:74" s="52" customFormat="1">
      <c r="A61" s="89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3"/>
      <c r="X61" s="83"/>
      <c r="Y61" s="83"/>
      <c r="Z61" s="83"/>
      <c r="AA61" s="83"/>
      <c r="AB61" s="82"/>
      <c r="AC61" s="82"/>
      <c r="AD61" s="83"/>
      <c r="AE61" s="83"/>
      <c r="AF61" s="83"/>
      <c r="AG61" s="83"/>
      <c r="AH61" s="83"/>
      <c r="AI61" s="82"/>
      <c r="AJ61" s="82"/>
      <c r="AK61" s="83"/>
      <c r="AL61" s="83"/>
      <c r="AM61" s="83"/>
      <c r="AN61" s="83"/>
      <c r="AO61" s="83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</row>
    <row r="62" spans="1:74" s="50" customForma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70"/>
      <c r="X62" s="70"/>
      <c r="Y62" s="70"/>
      <c r="Z62" s="70"/>
      <c r="AA62" s="70"/>
      <c r="AB62" s="85"/>
      <c r="AC62" s="85"/>
      <c r="AD62" s="70"/>
      <c r="AE62" s="70"/>
      <c r="AF62" s="70"/>
      <c r="AG62" s="70"/>
      <c r="AH62" s="70"/>
      <c r="AI62" s="85"/>
      <c r="AJ62" s="85"/>
      <c r="AK62" s="70"/>
      <c r="AL62" s="70"/>
      <c r="AM62" s="70"/>
      <c r="AN62" s="70"/>
      <c r="AO62" s="70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1:74" s="50" customFormat="1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70"/>
      <c r="X63" s="70"/>
      <c r="Y63" s="70"/>
      <c r="Z63" s="70"/>
      <c r="AA63" s="70"/>
      <c r="AB63" s="85"/>
      <c r="AC63" s="85"/>
      <c r="AD63" s="70"/>
      <c r="AE63" s="70"/>
      <c r="AF63" s="70"/>
      <c r="AG63" s="70"/>
      <c r="AH63" s="70"/>
      <c r="AI63" s="85"/>
      <c r="AJ63" s="85"/>
      <c r="AK63" s="70"/>
      <c r="AL63" s="70"/>
      <c r="AM63" s="70"/>
      <c r="AN63" s="70"/>
      <c r="AO63" s="70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</row>
    <row r="64" spans="1:74" s="50" customFormat="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70"/>
      <c r="X64" s="70"/>
      <c r="Y64" s="70"/>
      <c r="Z64" s="70"/>
      <c r="AA64" s="70"/>
      <c r="AB64" s="85"/>
      <c r="AC64" s="85"/>
      <c r="AD64" s="70"/>
      <c r="AE64" s="70"/>
      <c r="AF64" s="70"/>
      <c r="AG64" s="70"/>
      <c r="AH64" s="70"/>
      <c r="AI64" s="85"/>
      <c r="AJ64" s="85"/>
      <c r="AK64" s="70"/>
      <c r="AL64" s="70"/>
      <c r="AM64" s="70"/>
      <c r="AN64" s="70"/>
      <c r="AO64" s="70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</row>
    <row r="65" spans="1:74" s="50" customFormat="1">
      <c r="A65" s="69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70"/>
      <c r="X65" s="70"/>
      <c r="Y65" s="70"/>
      <c r="Z65" s="70"/>
      <c r="AA65" s="70"/>
      <c r="AB65" s="85"/>
      <c r="AC65" s="85"/>
      <c r="AD65" s="70"/>
      <c r="AE65" s="70"/>
      <c r="AF65" s="70"/>
      <c r="AG65" s="70"/>
      <c r="AH65" s="70"/>
      <c r="AI65" s="85"/>
      <c r="AJ65" s="85"/>
      <c r="AK65" s="70"/>
      <c r="AL65" s="70"/>
      <c r="AM65" s="70"/>
      <c r="AN65" s="70"/>
      <c r="AO65" s="70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1:74" s="50" customFormat="1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S66" s="85"/>
      <c r="T66" s="85"/>
      <c r="U66" s="85"/>
      <c r="V66" s="85"/>
      <c r="W66" s="70"/>
      <c r="X66" s="70"/>
      <c r="Y66" s="70"/>
      <c r="Z66" s="70"/>
      <c r="AA66" s="70"/>
      <c r="AB66" s="85"/>
      <c r="AC66" s="85"/>
      <c r="AD66" s="70"/>
      <c r="AE66" s="70"/>
      <c r="AF66" s="70"/>
      <c r="AG66" s="70"/>
      <c r="AH66" s="70"/>
      <c r="AJ66" s="85"/>
      <c r="AK66" s="70"/>
      <c r="AL66" s="70"/>
      <c r="AM66" s="70"/>
      <c r="AN66" s="70"/>
      <c r="AO66" s="70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</row>
    <row r="67" spans="1:74" s="50" customFormat="1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S67" s="85"/>
      <c r="T67" s="85"/>
      <c r="U67" s="85"/>
      <c r="V67" s="85"/>
      <c r="W67" s="70"/>
      <c r="X67" s="70"/>
      <c r="Y67" s="70"/>
      <c r="Z67" s="70"/>
      <c r="AA67" s="70"/>
      <c r="AB67" s="85"/>
      <c r="AC67" s="85"/>
      <c r="AD67" s="70"/>
      <c r="AE67" s="70"/>
      <c r="AF67" s="70"/>
      <c r="AG67" s="70"/>
      <c r="AH67" s="70"/>
      <c r="AJ67" s="85"/>
      <c r="AK67" s="70"/>
      <c r="AL67" s="70"/>
      <c r="AM67" s="70"/>
      <c r="AN67" s="70"/>
      <c r="AO67" s="70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</row>
    <row r="68" spans="1:74" s="50" customFormat="1">
      <c r="A68" s="69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S68" s="85"/>
      <c r="T68" s="85"/>
      <c r="U68" s="85"/>
      <c r="V68" s="85"/>
      <c r="W68" s="70"/>
      <c r="X68" s="70"/>
      <c r="Y68" s="70"/>
      <c r="Z68" s="70"/>
      <c r="AA68" s="70"/>
      <c r="AB68" s="85"/>
      <c r="AC68" s="85"/>
      <c r="AD68" s="70"/>
      <c r="AE68" s="70"/>
      <c r="AF68" s="70"/>
      <c r="AG68" s="70"/>
      <c r="AH68" s="70"/>
      <c r="AJ68" s="85"/>
      <c r="AK68" s="70"/>
      <c r="AL68" s="70"/>
      <c r="AM68" s="70"/>
      <c r="AN68" s="70"/>
      <c r="AO68" s="70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</row>
    <row r="69" spans="1:74" s="50" customFormat="1">
      <c r="A69" s="6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S69" s="85"/>
      <c r="T69" s="85"/>
      <c r="U69" s="85"/>
      <c r="V69" s="85"/>
      <c r="W69" s="70"/>
      <c r="X69" s="70"/>
      <c r="Y69" s="70"/>
      <c r="Z69" s="70"/>
      <c r="AA69" s="70"/>
      <c r="AB69" s="85"/>
      <c r="AC69" s="85"/>
      <c r="AD69" s="70"/>
      <c r="AE69" s="70"/>
      <c r="AF69" s="70"/>
      <c r="AG69" s="70"/>
      <c r="AH69" s="70"/>
      <c r="AJ69" s="85"/>
      <c r="AK69" s="70"/>
      <c r="AL69" s="70"/>
      <c r="AM69" s="70"/>
      <c r="AN69" s="70"/>
      <c r="AO69" s="70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</row>
    <row r="70" spans="1:74" s="50" customFormat="1">
      <c r="A70" s="69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S70" s="85"/>
      <c r="T70" s="85"/>
      <c r="U70" s="85"/>
      <c r="V70" s="85"/>
      <c r="W70" s="70"/>
      <c r="X70" s="70"/>
      <c r="Y70" s="70"/>
      <c r="Z70" s="70"/>
      <c r="AA70" s="70"/>
      <c r="AB70" s="85"/>
      <c r="AC70" s="85"/>
      <c r="AD70" s="70"/>
      <c r="AE70" s="70"/>
      <c r="AF70" s="70"/>
      <c r="AG70" s="70"/>
      <c r="AH70" s="70"/>
      <c r="AJ70" s="85"/>
      <c r="AK70" s="70"/>
      <c r="AL70" s="70"/>
      <c r="AM70" s="70"/>
      <c r="AN70" s="70"/>
      <c r="AO70" s="70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</row>
    <row r="71" spans="1:74">
      <c r="A71" s="64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S71" s="90"/>
      <c r="T71" s="90"/>
      <c r="U71" s="90"/>
      <c r="W71" s="46"/>
      <c r="X71" s="46"/>
      <c r="Y71" s="46"/>
      <c r="Z71" s="46"/>
      <c r="AA71" s="46"/>
      <c r="AD71" s="46"/>
      <c r="AE71" s="46"/>
      <c r="AF71" s="46"/>
      <c r="AG71" s="46"/>
      <c r="AH71" s="46"/>
      <c r="AJ71" s="90"/>
      <c r="AK71" s="46"/>
      <c r="AL71" s="46"/>
      <c r="AM71" s="46"/>
      <c r="AN71" s="46"/>
      <c r="AO71" s="46"/>
      <c r="AP71" s="90"/>
      <c r="AQ71" s="90"/>
      <c r="AR71" s="90"/>
      <c r="AS71" s="90"/>
    </row>
    <row r="72" spans="1:74">
      <c r="A72" s="64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W72" s="46"/>
      <c r="X72" s="46"/>
      <c r="Y72" s="46"/>
      <c r="Z72" s="46"/>
      <c r="AA72" s="46"/>
      <c r="AD72" s="46"/>
      <c r="AE72" s="46"/>
      <c r="AF72" s="46"/>
      <c r="AG72" s="46"/>
      <c r="AH72" s="46"/>
      <c r="AK72" s="46"/>
      <c r="AL72" s="46"/>
      <c r="AM72" s="46"/>
      <c r="AN72" s="46"/>
      <c r="AO72" s="46"/>
    </row>
    <row r="73" spans="1:74">
      <c r="A73" s="64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W73" s="46"/>
      <c r="X73" s="46"/>
      <c r="Y73" s="46"/>
      <c r="Z73" s="46"/>
      <c r="AA73" s="46"/>
      <c r="AD73" s="46"/>
      <c r="AE73" s="46"/>
      <c r="AF73" s="46"/>
      <c r="AG73" s="46"/>
      <c r="AH73" s="46"/>
      <c r="AK73" s="46"/>
      <c r="AL73" s="46"/>
      <c r="AM73" s="46"/>
      <c r="AN73" s="46"/>
      <c r="AO73" s="46"/>
    </row>
    <row r="74" spans="1:74">
      <c r="A74" s="64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W74" s="46"/>
      <c r="X74" s="46"/>
      <c r="Y74" s="46"/>
      <c r="Z74" s="46"/>
      <c r="AA74" s="46"/>
      <c r="AD74" s="46"/>
      <c r="AE74" s="46"/>
      <c r="AF74" s="46"/>
      <c r="AG74" s="46"/>
      <c r="AH74" s="46"/>
      <c r="AK74" s="46"/>
      <c r="AL74" s="46"/>
      <c r="AM74" s="46"/>
      <c r="AN74" s="46"/>
      <c r="AO74" s="46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AM59"/>
  <sheetViews>
    <sheetView topLeftCell="A43" workbookViewId="0">
      <selection activeCell="B32" sqref="B32"/>
    </sheetView>
  </sheetViews>
  <sheetFormatPr baseColWidth="10" defaultRowHeight="14"/>
  <cols>
    <col min="1" max="1" width="7.5703125" style="98" customWidth="1"/>
    <col min="2" max="29" width="5.28515625" style="82" customWidth="1"/>
    <col min="30" max="190" width="7.5703125" style="52" customWidth="1"/>
    <col min="191" max="16384" width="10.7109375" style="52"/>
  </cols>
  <sheetData>
    <row r="3" spans="1:39" s="95" customFormat="1">
      <c r="A3" s="93" t="s">
        <v>0</v>
      </c>
      <c r="B3" s="94">
        <v>9421</v>
      </c>
      <c r="C3" s="2" t="s">
        <v>387</v>
      </c>
      <c r="D3" s="2" t="s">
        <v>387</v>
      </c>
      <c r="E3" s="2" t="s">
        <v>387</v>
      </c>
      <c r="F3" s="2" t="s">
        <v>387</v>
      </c>
      <c r="G3" s="2" t="s">
        <v>217</v>
      </c>
      <c r="H3" s="2" t="s">
        <v>217</v>
      </c>
      <c r="I3" s="2" t="s">
        <v>217</v>
      </c>
      <c r="J3" s="2" t="s">
        <v>217</v>
      </c>
      <c r="K3" s="2" t="s">
        <v>75</v>
      </c>
      <c r="L3" s="2" t="s">
        <v>75</v>
      </c>
      <c r="M3" s="2" t="s">
        <v>75</v>
      </c>
      <c r="N3" s="2" t="s">
        <v>75</v>
      </c>
      <c r="O3" s="2">
        <v>931</v>
      </c>
      <c r="P3" s="2">
        <v>931</v>
      </c>
      <c r="Q3" s="2" t="s">
        <v>388</v>
      </c>
      <c r="R3" s="2" t="s">
        <v>388</v>
      </c>
      <c r="S3" s="2" t="s">
        <v>389</v>
      </c>
      <c r="T3" s="2" t="s">
        <v>389</v>
      </c>
      <c r="U3" s="2" t="s">
        <v>390</v>
      </c>
      <c r="V3" s="2" t="s">
        <v>390</v>
      </c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spans="1:39" s="95" customFormat="1">
      <c r="A4" s="93" t="s">
        <v>238</v>
      </c>
      <c r="B4" s="94" t="s">
        <v>391</v>
      </c>
      <c r="C4" s="2" t="s">
        <v>392</v>
      </c>
      <c r="D4" s="2" t="s">
        <v>393</v>
      </c>
      <c r="E4" s="2" t="s">
        <v>394</v>
      </c>
      <c r="F4" s="2" t="s">
        <v>395</v>
      </c>
      <c r="G4" s="2">
        <v>35</v>
      </c>
      <c r="H4" s="2">
        <v>20</v>
      </c>
      <c r="I4" s="2">
        <v>21</v>
      </c>
      <c r="J4" s="2">
        <v>22</v>
      </c>
      <c r="K4" s="2" t="s">
        <v>396</v>
      </c>
      <c r="L4" s="2" t="s">
        <v>397</v>
      </c>
      <c r="M4" s="2" t="s">
        <v>398</v>
      </c>
      <c r="N4" s="2" t="s">
        <v>399</v>
      </c>
      <c r="O4" s="2">
        <v>5</v>
      </c>
      <c r="P4" s="2" t="s">
        <v>400</v>
      </c>
      <c r="Q4" s="2">
        <v>65</v>
      </c>
      <c r="R4" s="2">
        <v>66</v>
      </c>
      <c r="S4" s="2">
        <v>78</v>
      </c>
      <c r="T4" s="2">
        <v>79</v>
      </c>
      <c r="U4" s="2">
        <v>7</v>
      </c>
      <c r="V4" s="2" t="s">
        <v>401</v>
      </c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spans="1:39">
      <c r="A5" s="4" t="s">
        <v>5</v>
      </c>
      <c r="B5" s="82">
        <v>0.21</v>
      </c>
      <c r="C5" s="2">
        <v>0.52</v>
      </c>
      <c r="D5" s="2">
        <v>0.18</v>
      </c>
      <c r="E5" s="2">
        <v>0.22</v>
      </c>
      <c r="F5" s="2">
        <v>0.36</v>
      </c>
      <c r="G5" s="2">
        <v>0.39</v>
      </c>
      <c r="H5" s="2">
        <v>0.51</v>
      </c>
      <c r="I5" s="2">
        <v>1.48</v>
      </c>
      <c r="J5" s="2">
        <v>1.07</v>
      </c>
      <c r="K5" s="2">
        <v>1.1100000000000001</v>
      </c>
      <c r="L5" s="2">
        <v>1.1200000000000001</v>
      </c>
      <c r="M5" s="2">
        <v>0.8</v>
      </c>
      <c r="N5" s="2">
        <v>1.26</v>
      </c>
      <c r="O5" s="2">
        <v>0.51</v>
      </c>
      <c r="P5" s="2">
        <v>1.48</v>
      </c>
      <c r="Q5" s="2">
        <v>0.15</v>
      </c>
      <c r="R5" s="2">
        <v>0.34</v>
      </c>
      <c r="S5" s="2">
        <v>0.45</v>
      </c>
      <c r="T5" s="2">
        <v>0.25</v>
      </c>
      <c r="U5" s="2">
        <v>0.16</v>
      </c>
      <c r="V5" s="2">
        <v>0.37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</row>
    <row r="6" spans="1:39">
      <c r="A6" s="4" t="s">
        <v>6</v>
      </c>
      <c r="B6" s="82">
        <v>0.02</v>
      </c>
      <c r="C6" s="2">
        <v>0.49</v>
      </c>
      <c r="D6" s="2">
        <v>0.48</v>
      </c>
      <c r="E6" s="2">
        <v>0.39</v>
      </c>
      <c r="F6" s="2">
        <v>0.44</v>
      </c>
      <c r="G6" s="2">
        <v>0.38</v>
      </c>
      <c r="H6" s="2">
        <v>0.44</v>
      </c>
      <c r="I6" s="2">
        <v>0.33</v>
      </c>
      <c r="J6" s="2">
        <v>0.36</v>
      </c>
      <c r="K6" s="2">
        <v>0.45</v>
      </c>
      <c r="L6" s="2">
        <v>0.37</v>
      </c>
      <c r="M6" s="2">
        <v>0.41</v>
      </c>
      <c r="N6" s="2">
        <v>0.41</v>
      </c>
      <c r="O6" s="2">
        <v>0.4</v>
      </c>
      <c r="P6" s="2">
        <v>0.32</v>
      </c>
      <c r="Q6" s="2">
        <v>0.48</v>
      </c>
      <c r="R6" s="2">
        <v>0.43</v>
      </c>
      <c r="S6" s="2">
        <v>0.37</v>
      </c>
      <c r="T6" s="2">
        <v>0.33</v>
      </c>
      <c r="U6" s="2">
        <v>1.89</v>
      </c>
      <c r="V6" s="2">
        <v>0.18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</row>
    <row r="7" spans="1:39">
      <c r="A7" s="4" t="s">
        <v>7</v>
      </c>
      <c r="B7" s="82">
        <v>0.13</v>
      </c>
      <c r="C7" s="2">
        <v>0</v>
      </c>
      <c r="D7" s="2">
        <v>0.09</v>
      </c>
      <c r="E7" s="2">
        <v>0.1</v>
      </c>
      <c r="F7" s="2">
        <v>0.1</v>
      </c>
      <c r="G7" s="2">
        <v>0.05</v>
      </c>
      <c r="H7" s="2">
        <v>0.06</v>
      </c>
      <c r="I7" s="2">
        <v>0.13</v>
      </c>
      <c r="J7" s="2">
        <v>0.17</v>
      </c>
      <c r="K7" s="2">
        <v>0.14000000000000001</v>
      </c>
      <c r="L7" s="2">
        <v>0.19</v>
      </c>
      <c r="M7" s="2">
        <v>0.09</v>
      </c>
      <c r="N7" s="2">
        <v>0.14000000000000001</v>
      </c>
      <c r="O7" s="2">
        <v>0.18</v>
      </c>
      <c r="P7" s="2">
        <v>0.21</v>
      </c>
      <c r="Q7" s="2">
        <v>0.03</v>
      </c>
      <c r="R7" s="2">
        <v>0.1</v>
      </c>
      <c r="S7" s="2">
        <v>0.13</v>
      </c>
      <c r="T7" s="2">
        <v>0.11</v>
      </c>
      <c r="U7" s="2">
        <v>0.22</v>
      </c>
      <c r="V7" s="2">
        <v>0.2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</row>
    <row r="8" spans="1:39">
      <c r="A8" s="4" t="s">
        <v>8</v>
      </c>
      <c r="B8" s="82">
        <v>0.08</v>
      </c>
      <c r="C8" s="2">
        <v>0</v>
      </c>
      <c r="D8" s="2">
        <v>0</v>
      </c>
      <c r="E8" s="2">
        <v>0</v>
      </c>
      <c r="F8" s="2">
        <v>0.05</v>
      </c>
      <c r="G8" s="2">
        <v>7.0000000000000007E-2</v>
      </c>
      <c r="H8" s="2">
        <v>0.4</v>
      </c>
      <c r="I8" s="2">
        <v>0.28000000000000003</v>
      </c>
      <c r="J8" s="2">
        <v>0.31</v>
      </c>
      <c r="K8" s="2">
        <v>0</v>
      </c>
      <c r="L8" s="2">
        <v>0.08</v>
      </c>
      <c r="M8" s="2">
        <v>0</v>
      </c>
      <c r="N8" s="2">
        <v>0</v>
      </c>
      <c r="O8" s="2">
        <v>0</v>
      </c>
      <c r="P8" s="2">
        <v>0.15</v>
      </c>
      <c r="Q8" s="2">
        <v>0</v>
      </c>
      <c r="R8" s="2">
        <v>0</v>
      </c>
      <c r="S8" s="2">
        <v>0.06</v>
      </c>
      <c r="T8" s="2">
        <v>7.0000000000000007E-2</v>
      </c>
      <c r="U8" s="2">
        <v>0.23</v>
      </c>
      <c r="V8" s="2">
        <v>0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</row>
    <row r="9" spans="1:39">
      <c r="A9" s="4" t="s">
        <v>9</v>
      </c>
      <c r="B9" s="82">
        <v>0</v>
      </c>
      <c r="C9" s="2">
        <v>0.05</v>
      </c>
      <c r="D9" s="2">
        <v>0</v>
      </c>
      <c r="E9" s="2">
        <v>0</v>
      </c>
      <c r="F9" s="2">
        <v>0.01</v>
      </c>
      <c r="G9" s="2">
        <v>0.05</v>
      </c>
      <c r="H9" s="2">
        <v>0.01</v>
      </c>
      <c r="I9" s="2">
        <v>0</v>
      </c>
      <c r="J9" s="2">
        <v>0</v>
      </c>
      <c r="K9" s="2">
        <v>0.02</v>
      </c>
      <c r="L9" s="2">
        <v>0.06</v>
      </c>
      <c r="M9" s="2">
        <v>0</v>
      </c>
      <c r="N9" s="2">
        <v>0</v>
      </c>
      <c r="O9" s="2">
        <v>7.0000000000000007E-2</v>
      </c>
      <c r="P9" s="2">
        <v>0</v>
      </c>
      <c r="Q9" s="2">
        <v>0.05</v>
      </c>
      <c r="R9" s="2">
        <v>0.05</v>
      </c>
      <c r="S9" s="2">
        <v>0</v>
      </c>
      <c r="T9" s="2">
        <v>0</v>
      </c>
      <c r="U9" s="2">
        <v>0.01</v>
      </c>
      <c r="V9" s="2">
        <v>0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</row>
    <row r="10" spans="1:39">
      <c r="A10" s="4" t="s">
        <v>118</v>
      </c>
      <c r="B10" s="82">
        <v>1.51</v>
      </c>
      <c r="C10" s="2">
        <v>0.47</v>
      </c>
      <c r="D10" s="2">
        <v>0.42</v>
      </c>
      <c r="E10" s="2">
        <v>0.49</v>
      </c>
      <c r="F10" s="2">
        <v>0.42</v>
      </c>
      <c r="G10" s="2">
        <v>0.49</v>
      </c>
      <c r="H10" s="2">
        <v>0.27</v>
      </c>
      <c r="I10" s="2">
        <v>0.31</v>
      </c>
      <c r="J10" s="2">
        <v>0.3</v>
      </c>
      <c r="K10" s="2">
        <v>0.36</v>
      </c>
      <c r="L10" s="2">
        <v>0.38</v>
      </c>
      <c r="M10" s="2">
        <v>0.35</v>
      </c>
      <c r="N10" s="2">
        <v>0.34</v>
      </c>
      <c r="O10" s="2">
        <v>0.9</v>
      </c>
      <c r="P10" s="2">
        <v>0.57999999999999996</v>
      </c>
      <c r="Q10" s="2">
        <v>1.27</v>
      </c>
      <c r="R10" s="2">
        <v>0.68</v>
      </c>
      <c r="S10" s="2">
        <v>0.69</v>
      </c>
      <c r="T10" s="2">
        <v>0.64</v>
      </c>
      <c r="U10" s="2">
        <v>1.04</v>
      </c>
      <c r="V10" s="2">
        <v>0.79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</row>
    <row r="11" spans="1:39">
      <c r="A11" s="4" t="s">
        <v>11</v>
      </c>
      <c r="B11" s="8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0.03</v>
      </c>
      <c r="I11" s="2">
        <v>0</v>
      </c>
      <c r="J11" s="2">
        <v>0.08</v>
      </c>
      <c r="K11" s="2">
        <v>0</v>
      </c>
      <c r="L11" s="2">
        <v>0</v>
      </c>
      <c r="M11" s="2">
        <v>0</v>
      </c>
      <c r="N11" s="2">
        <v>0</v>
      </c>
      <c r="O11" s="2">
        <v>0.01</v>
      </c>
      <c r="P11" s="2">
        <v>0.06</v>
      </c>
      <c r="Q11" s="2">
        <v>0</v>
      </c>
      <c r="R11" s="2">
        <v>0.06</v>
      </c>
      <c r="S11" s="2">
        <v>0</v>
      </c>
      <c r="T11" s="2">
        <v>0.03</v>
      </c>
      <c r="U11" s="2">
        <v>0.02</v>
      </c>
      <c r="V11" s="2">
        <v>0.06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</row>
    <row r="12" spans="1:39">
      <c r="A12" s="4" t="s">
        <v>12</v>
      </c>
      <c r="B12" s="82">
        <v>7.71</v>
      </c>
      <c r="C12" s="2">
        <v>6.93</v>
      </c>
      <c r="D12" s="2">
        <v>7.31</v>
      </c>
      <c r="E12" s="2">
        <v>7.41</v>
      </c>
      <c r="F12" s="2">
        <v>6.61</v>
      </c>
      <c r="G12" s="2">
        <v>7.18</v>
      </c>
      <c r="H12" s="2">
        <v>5.95</v>
      </c>
      <c r="I12" s="2">
        <v>5.7</v>
      </c>
      <c r="J12" s="2">
        <v>6.31</v>
      </c>
      <c r="K12" s="2">
        <v>6.76</v>
      </c>
      <c r="L12" s="2">
        <v>6.71</v>
      </c>
      <c r="M12" s="2">
        <v>6.53</v>
      </c>
      <c r="N12" s="2">
        <v>6.21</v>
      </c>
      <c r="O12" s="2">
        <v>6.34</v>
      </c>
      <c r="P12" s="2">
        <v>5.9</v>
      </c>
      <c r="Q12" s="2">
        <v>6.75</v>
      </c>
      <c r="R12" s="2">
        <v>7.1</v>
      </c>
      <c r="S12" s="2">
        <v>6.54</v>
      </c>
      <c r="T12" s="2">
        <v>6.5</v>
      </c>
      <c r="U12" s="2">
        <v>5.91</v>
      </c>
      <c r="V12" s="2">
        <v>7.25</v>
      </c>
      <c r="AD12" s="82"/>
      <c r="AE12" s="82"/>
      <c r="AF12" s="82"/>
      <c r="AG12" s="82"/>
      <c r="AH12" s="82"/>
      <c r="AI12" s="82"/>
      <c r="AJ12" s="82"/>
      <c r="AK12" s="82"/>
      <c r="AL12" s="82"/>
      <c r="AM12" s="82"/>
    </row>
    <row r="13" spans="1:39">
      <c r="A13" s="4" t="s">
        <v>13</v>
      </c>
      <c r="B13" s="82">
        <v>46.29</v>
      </c>
      <c r="C13" s="2">
        <v>46.29</v>
      </c>
      <c r="D13" s="2">
        <v>46.46</v>
      </c>
      <c r="E13" s="2">
        <v>46.41</v>
      </c>
      <c r="F13" s="2">
        <v>47.62</v>
      </c>
      <c r="G13" s="2">
        <v>45.72</v>
      </c>
      <c r="H13" s="2">
        <v>48.53</v>
      </c>
      <c r="I13" s="2">
        <v>48.64</v>
      </c>
      <c r="J13" s="2">
        <v>49</v>
      </c>
      <c r="K13" s="2">
        <v>47.06</v>
      </c>
      <c r="L13" s="2">
        <v>45.84</v>
      </c>
      <c r="M13" s="2">
        <v>49.02</v>
      </c>
      <c r="N13" s="2">
        <v>48.99</v>
      </c>
      <c r="O13" s="2">
        <v>47.45</v>
      </c>
      <c r="P13" s="2">
        <v>46.67</v>
      </c>
      <c r="Q13" s="2">
        <v>45.97</v>
      </c>
      <c r="R13" s="2">
        <v>45</v>
      </c>
      <c r="S13" s="2">
        <v>48.42</v>
      </c>
      <c r="T13" s="2">
        <v>47.13</v>
      </c>
      <c r="U13" s="2">
        <v>46.06</v>
      </c>
      <c r="V13" s="2">
        <v>47.26</v>
      </c>
      <c r="AD13" s="82"/>
      <c r="AE13" s="82"/>
      <c r="AF13" s="82"/>
      <c r="AG13" s="82"/>
      <c r="AH13" s="82"/>
      <c r="AI13" s="82"/>
      <c r="AJ13" s="82"/>
      <c r="AK13" s="82"/>
      <c r="AL13" s="82"/>
      <c r="AM13" s="82"/>
    </row>
    <row r="14" spans="1:39">
      <c r="A14" s="4" t="s">
        <v>14</v>
      </c>
      <c r="B14" s="82">
        <v>39.19</v>
      </c>
      <c r="C14" s="2">
        <v>38.770000000000003</v>
      </c>
      <c r="D14" s="2">
        <v>39.35</v>
      </c>
      <c r="E14" s="2">
        <v>39.79</v>
      </c>
      <c r="F14" s="2">
        <v>40.72</v>
      </c>
      <c r="G14" s="2">
        <v>39.5</v>
      </c>
      <c r="H14" s="2">
        <v>41.21</v>
      </c>
      <c r="I14" s="2">
        <v>40.35</v>
      </c>
      <c r="J14" s="2">
        <v>41.26</v>
      </c>
      <c r="K14" s="2">
        <v>39.56</v>
      </c>
      <c r="L14" s="2">
        <v>38.5</v>
      </c>
      <c r="M14" s="2">
        <v>41.44</v>
      </c>
      <c r="N14" s="2">
        <v>41.59</v>
      </c>
      <c r="O14" s="2">
        <v>39.659999999999997</v>
      </c>
      <c r="P14" s="2">
        <v>40.18</v>
      </c>
      <c r="Q14" s="2">
        <v>40.53</v>
      </c>
      <c r="R14" s="2">
        <v>39.67</v>
      </c>
      <c r="S14" s="2">
        <v>40.11</v>
      </c>
      <c r="T14" s="2">
        <v>39.82</v>
      </c>
      <c r="U14" s="2">
        <v>43.53</v>
      </c>
      <c r="V14" s="2">
        <v>39.409999999999997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/>
    </row>
    <row r="15" spans="1:39">
      <c r="A15" s="4" t="s">
        <v>15</v>
      </c>
      <c r="B15" s="82">
        <v>0.01</v>
      </c>
      <c r="C15" s="2">
        <v>0.21</v>
      </c>
      <c r="D15" s="2">
        <v>0.15</v>
      </c>
      <c r="E15" s="2">
        <v>0.15</v>
      </c>
      <c r="F15" s="2">
        <v>0.23</v>
      </c>
      <c r="G15" s="2">
        <v>0.3</v>
      </c>
      <c r="H15" s="2">
        <v>0.2</v>
      </c>
      <c r="I15" s="2">
        <v>0.26</v>
      </c>
      <c r="J15" s="2">
        <v>0.19</v>
      </c>
      <c r="K15" s="2">
        <v>0.16</v>
      </c>
      <c r="L15" s="2">
        <v>0.23</v>
      </c>
      <c r="M15" s="2">
        <v>0.21</v>
      </c>
      <c r="N15" s="2">
        <v>0.21</v>
      </c>
      <c r="O15" s="2">
        <v>0.53</v>
      </c>
      <c r="P15" s="2">
        <v>0.18</v>
      </c>
      <c r="Q15" s="2">
        <v>0.13</v>
      </c>
      <c r="R15" s="2">
        <v>0.17</v>
      </c>
      <c r="S15" s="2">
        <v>0.15</v>
      </c>
      <c r="T15" s="2">
        <v>0.16</v>
      </c>
      <c r="U15" s="2">
        <v>0.42</v>
      </c>
      <c r="V15" s="2">
        <v>0.23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</row>
    <row r="16" spans="1:39">
      <c r="A16" s="4" t="s">
        <v>16</v>
      </c>
      <c r="B16" s="83">
        <f t="shared" ref="B16:Q16" si="0">SUM(B5:B15)</f>
        <v>95.15</v>
      </c>
      <c r="C16" s="83">
        <f t="shared" si="0"/>
        <v>93.73</v>
      </c>
      <c r="D16" s="83">
        <f t="shared" si="0"/>
        <v>94.44</v>
      </c>
      <c r="E16" s="83">
        <f t="shared" si="0"/>
        <v>94.960000000000008</v>
      </c>
      <c r="F16" s="83">
        <f t="shared" si="0"/>
        <v>96.56</v>
      </c>
      <c r="G16" s="83">
        <f t="shared" si="0"/>
        <v>94.13</v>
      </c>
      <c r="H16" s="83">
        <f t="shared" si="0"/>
        <v>97.61</v>
      </c>
      <c r="I16" s="83">
        <f t="shared" si="0"/>
        <v>97.48</v>
      </c>
      <c r="J16" s="83">
        <f t="shared" si="0"/>
        <v>99.05</v>
      </c>
      <c r="K16" s="83">
        <f t="shared" si="0"/>
        <v>95.62</v>
      </c>
      <c r="L16" s="83">
        <f t="shared" si="0"/>
        <v>93.48</v>
      </c>
      <c r="M16" s="83">
        <f t="shared" si="0"/>
        <v>98.85</v>
      </c>
      <c r="N16" s="83">
        <f t="shared" si="0"/>
        <v>99.149999999999991</v>
      </c>
      <c r="O16" s="83">
        <f t="shared" si="0"/>
        <v>96.05</v>
      </c>
      <c r="P16" s="83">
        <f t="shared" si="0"/>
        <v>95.730000000000018</v>
      </c>
      <c r="Q16" s="83">
        <f t="shared" si="0"/>
        <v>95.36</v>
      </c>
      <c r="R16" s="83">
        <f>SUM(R5:R15)</f>
        <v>93.600000000000009</v>
      </c>
      <c r="S16" s="83">
        <f>SUM(S5:S15)</f>
        <v>96.920000000000016</v>
      </c>
      <c r="T16" s="83">
        <f>SUM(T5:T15)</f>
        <v>95.039999999999992</v>
      </c>
      <c r="U16" s="83">
        <f>SUM(U5:U15)</f>
        <v>99.490000000000009</v>
      </c>
      <c r="V16" s="83">
        <f>SUM(V5:V15)</f>
        <v>95.75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</row>
    <row r="17" spans="1:39">
      <c r="A17" s="75" t="s">
        <v>402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AD17" s="82"/>
      <c r="AE17" s="82"/>
      <c r="AF17" s="82"/>
      <c r="AG17" s="82"/>
      <c r="AH17" s="82"/>
      <c r="AI17" s="82"/>
      <c r="AJ17" s="82"/>
      <c r="AK17" s="82"/>
      <c r="AL17" s="82"/>
      <c r="AM17" s="82"/>
    </row>
    <row r="18" spans="1:39">
      <c r="A18" s="4" t="s">
        <v>18</v>
      </c>
      <c r="B18" s="83">
        <f t="shared" ref="B18:Q18" si="1">B13/60.09*(11/((B6/56.08)+(B7/79.9*2)+(B10/71.85)+(B9/70.94)+(B8/152.02*3)+(B13/60.09*2)+(B14/101.94*3)+(B15/40.32)+(B11/74.71)+(B5/94.2)+(B12/61.982)))</f>
        <v>2.9763002839056152</v>
      </c>
      <c r="C18" s="83">
        <f t="shared" si="1"/>
        <v>3.0047053464132145</v>
      </c>
      <c r="D18" s="83">
        <f t="shared" si="1"/>
        <v>2.9898359505347942</v>
      </c>
      <c r="E18" s="83">
        <f t="shared" si="1"/>
        <v>2.973091393479335</v>
      </c>
      <c r="F18" s="83">
        <f t="shared" si="1"/>
        <v>2.9886373503134696</v>
      </c>
      <c r="G18" s="83">
        <f t="shared" si="1"/>
        <v>2.9589485917683889</v>
      </c>
      <c r="H18" s="83">
        <f t="shared" si="1"/>
        <v>3.0054322886977229</v>
      </c>
      <c r="I18" s="83">
        <f t="shared" si="1"/>
        <v>3.0291111456236282</v>
      </c>
      <c r="J18" s="83">
        <f t="shared" si="1"/>
        <v>3.0049400868356724</v>
      </c>
      <c r="K18" s="83">
        <f t="shared" si="1"/>
        <v>2.999387363635293</v>
      </c>
      <c r="L18" s="83">
        <f t="shared" si="1"/>
        <v>2.9930325692270432</v>
      </c>
      <c r="M18" s="83">
        <f t="shared" si="1"/>
        <v>3.0066312688707968</v>
      </c>
      <c r="N18" s="83">
        <f t="shared" si="1"/>
        <v>3.000519855300845</v>
      </c>
      <c r="O18" s="83">
        <f t="shared" si="1"/>
        <v>3.0028963744786688</v>
      </c>
      <c r="P18" s="83">
        <f t="shared" si="1"/>
        <v>2.9726761965120549</v>
      </c>
      <c r="Q18" s="83">
        <f t="shared" si="1"/>
        <v>2.9380578911761557</v>
      </c>
      <c r="R18" s="83">
        <f>R13/60.09*(11/((R6/56.08)+(R7/79.9*2)+(R10/71.85)+(R9/70.94)+(R8/152.02*3)+(R13/60.09*2)+(R14/101.94*3)+(R15/40.32)+(R11/74.71)+(R5/94.2)+(R12/61.982)))</f>
        <v>2.932878956322114</v>
      </c>
      <c r="S18" s="83">
        <f>S13/60.09*(11/((S6/56.08)+(S7/79.9*2)+(S10/71.85)+(S9/70.94)+(S8/152.02*3)+(S13/60.09*2)+(S14/101.94*3)+(S15/40.32)+(S11/74.71)+(S5/94.2)+(S12/61.982)))</f>
        <v>3.0286345629371003</v>
      </c>
      <c r="T18" s="83">
        <f>T13/60.09*(11/((T6/56.08)+(T7/79.9*2)+(T10/71.85)+(T9/70.94)+(T8/152.02*3)+(T13/60.09*2)+(T14/101.94*3)+(T15/40.32)+(T11/74.71)+(T5/94.2)+(T12/61.982)))</f>
        <v>3.0047229939532247</v>
      </c>
      <c r="U18" s="83">
        <f>U13/60.09*(11/((U6/56.08)+(U7/79.9*2)+(U10/71.85)+(U9/70.94)+(U8/152.02*3)+(U13/60.09*2)+(U14/101.94*3)+(U15/40.32)+(U11/74.71)+(U5/94.2)+(U12/61.982)))</f>
        <v>2.8292559781719437</v>
      </c>
      <c r="V18" s="83">
        <f>V13/60.09*(11/((V6/56.08)+(V7/79.9*2)+(V10/71.85)+(V9/70.94)+(V8/152.02*3)+(V13/60.09*2)+(V14/101.94*3)+(V15/40.32)+(V11/74.71)+(V5/94.2)+(V12/61.982)))</f>
        <v>3.00457999662826</v>
      </c>
      <c r="AD18" s="82"/>
      <c r="AE18" s="82"/>
      <c r="AF18" s="82"/>
      <c r="AG18" s="82"/>
      <c r="AH18" s="82"/>
      <c r="AI18" s="82"/>
      <c r="AJ18" s="82"/>
      <c r="AK18" s="82"/>
      <c r="AL18" s="82"/>
      <c r="AM18" s="82"/>
    </row>
    <row r="19" spans="1:39">
      <c r="A19" s="4" t="s">
        <v>19</v>
      </c>
      <c r="B19" s="83">
        <f t="shared" ref="B19:Q19" si="2">(B14/101.94*(11/((B6/56.08)+(B7/79.9*2)+(B10/71.85)+(B9/70.94)+(B8/152.02*3)+(B13/60.09*2)+(B14/101.94*3)+(B15/40.32)+(B11/74.71)+(B5/94.2)+(B12/61.982)))*2)</f>
        <v>2.9706562407620218</v>
      </c>
      <c r="C19" s="83">
        <f t="shared" si="2"/>
        <v>2.9668670163026785</v>
      </c>
      <c r="D19" s="83">
        <f t="shared" si="2"/>
        <v>2.9853857899882481</v>
      </c>
      <c r="E19" s="83">
        <f t="shared" si="2"/>
        <v>3.0050949652085692</v>
      </c>
      <c r="F19" s="83">
        <f t="shared" si="2"/>
        <v>3.0128615042255418</v>
      </c>
      <c r="G19" s="83">
        <f t="shared" si="2"/>
        <v>3.0138099628084878</v>
      </c>
      <c r="H19" s="83">
        <f t="shared" si="2"/>
        <v>3.0087551146535456</v>
      </c>
      <c r="I19" s="83">
        <f t="shared" si="2"/>
        <v>2.9624617537696873</v>
      </c>
      <c r="J19" s="83">
        <f t="shared" si="2"/>
        <v>2.9830225156409917</v>
      </c>
      <c r="K19" s="83">
        <f t="shared" si="2"/>
        <v>2.9725179645327811</v>
      </c>
      <c r="L19" s="83">
        <f t="shared" si="2"/>
        <v>2.9635696171270554</v>
      </c>
      <c r="M19" s="83">
        <f t="shared" si="2"/>
        <v>2.9964992963119839</v>
      </c>
      <c r="N19" s="83">
        <f t="shared" si="2"/>
        <v>3.0030706970176038</v>
      </c>
      <c r="O19" s="83">
        <f t="shared" si="2"/>
        <v>2.9589962115480248</v>
      </c>
      <c r="P19" s="83">
        <f t="shared" si="2"/>
        <v>3.0172222904842916</v>
      </c>
      <c r="Q19" s="83">
        <f t="shared" si="2"/>
        <v>3.0538662983718727</v>
      </c>
      <c r="R19" s="83">
        <f>(R14/101.94*(11/((R6/56.08)+(R7/79.9*2)+(R10/71.85)+(R9/70.94)+(R8/152.02*3)+(R13/60.09*2)+(R14/101.94*3)+(R15/40.32)+(R11/74.71)+(R5/94.2)+(R12/61.982)))*2)</f>
        <v>3.0481153399933087</v>
      </c>
      <c r="S19" s="83">
        <f>(S14/101.94*(11/((S6/56.08)+(S7/79.9*2)+(S10/71.85)+(S9/70.94)+(S8/152.02*3)+(S13/60.09*2)+(S14/101.94*3)+(S15/40.32)+(S11/74.71)+(S5/94.2)+(S12/61.982)))*2)</f>
        <v>2.9577558468046106</v>
      </c>
      <c r="T19" s="83">
        <f>(T14/101.94*(11/((T6/56.08)+(T7/79.9*2)+(T10/71.85)+(T9/70.94)+(T8/152.02*3)+(T13/60.09*2)+(T14/101.94*3)+(T15/40.32)+(T11/74.71)+(T5/94.2)+(T12/61.982)))*2)</f>
        <v>2.9929249510145128</v>
      </c>
      <c r="U19" s="83">
        <f>(U14/101.94*(11/((U6/56.08)+(U7/79.9*2)+(U10/71.85)+(U9/70.94)+(U8/152.02*3)+(U13/60.09*2)+(U14/101.94*3)+(U15/40.32)+(U11/74.71)+(U5/94.2)+(U12/61.982)))*2)</f>
        <v>3.1522782551438131</v>
      </c>
      <c r="V19" s="83">
        <f>(V14/101.94*(11/((V6/56.08)+(V7/79.9*2)+(V10/71.85)+(V9/70.94)+(V8/152.02*3)+(V13/60.09*2)+(V14/101.94*3)+(V15/40.32)+(V11/74.71)+(V5/94.2)+(V12/61.982)))*2)</f>
        <v>2.9538202231832473</v>
      </c>
      <c r="AD19" s="82"/>
      <c r="AE19" s="82"/>
      <c r="AF19" s="82"/>
      <c r="AG19" s="82"/>
      <c r="AH19" s="82"/>
      <c r="AI19" s="82"/>
      <c r="AJ19" s="82"/>
      <c r="AK19" s="82"/>
      <c r="AL19" s="82"/>
      <c r="AM19" s="82"/>
    </row>
    <row r="20" spans="1:39">
      <c r="A20" s="4" t="s">
        <v>20</v>
      </c>
      <c r="B20" s="83">
        <f t="shared" ref="B20:Q20" si="3">B7/79.9*(11/((B6/56.08)+(B7/79.9*2)+(B10/71.85)+(B9/70.94)+(B8/152.02*3)+(B13/60.09*2)+(B14/101.94*3)+(B15/40.32)+(B11/74.71)+(B5/94.2)+(B12/61.982)))</f>
        <v>6.2862021380110031E-3</v>
      </c>
      <c r="C20" s="83">
        <f t="shared" si="3"/>
        <v>0</v>
      </c>
      <c r="D20" s="83">
        <f t="shared" si="3"/>
        <v>4.3557815230960842E-3</v>
      </c>
      <c r="E20" s="83">
        <f t="shared" si="3"/>
        <v>4.8178371486814154E-3</v>
      </c>
      <c r="F20" s="83">
        <f t="shared" si="3"/>
        <v>4.7199701637845402E-3</v>
      </c>
      <c r="G20" s="83">
        <f t="shared" si="3"/>
        <v>2.4336416375587938E-3</v>
      </c>
      <c r="H20" s="83">
        <f t="shared" si="3"/>
        <v>2.7944949664493479E-3</v>
      </c>
      <c r="I20" s="83">
        <f t="shared" si="3"/>
        <v>6.088641727392612E-3</v>
      </c>
      <c r="J20" s="83">
        <f t="shared" si="3"/>
        <v>7.8405058540145702E-3</v>
      </c>
      <c r="K20" s="83">
        <f t="shared" si="3"/>
        <v>6.7106423763124718E-3</v>
      </c>
      <c r="L20" s="83">
        <f t="shared" si="3"/>
        <v>9.3298757353001451E-3</v>
      </c>
      <c r="M20" s="83">
        <f t="shared" si="3"/>
        <v>4.1514976557243261E-3</v>
      </c>
      <c r="N20" s="83">
        <f t="shared" si="3"/>
        <v>6.4487052310754564E-3</v>
      </c>
      <c r="O20" s="83">
        <f t="shared" si="3"/>
        <v>8.5670649338111457E-3</v>
      </c>
      <c r="P20" s="83">
        <f t="shared" si="3"/>
        <v>1.0059688295865324E-2</v>
      </c>
      <c r="Q20" s="83">
        <f t="shared" si="3"/>
        <v>1.4419909159952378E-3</v>
      </c>
      <c r="R20" s="83">
        <f>R7/79.9*(11/((R6/56.08)+(R7/79.9*2)+(R10/71.85)+(R9/70.94)+(R8/152.02*3)+(R13/60.09*2)+(R14/101.94*3)+(R15/40.32)+(R11/74.71)+(R5/94.2)+(R12/61.982)))</f>
        <v>4.9015907797356649E-3</v>
      </c>
      <c r="S20" s="83">
        <f>S7/79.9*(11/((S6/56.08)+(S7/79.9*2)+(S10/71.85)+(S9/70.94)+(S8/152.02*3)+(S13/60.09*2)+(S14/101.94*3)+(S15/40.32)+(S11/74.71)+(S5/94.2)+(S12/61.982)))</f>
        <v>6.1153436361994591E-3</v>
      </c>
      <c r="T20" s="83">
        <f>T7/79.9*(11/((T6/56.08)+(T7/79.9*2)+(T10/71.85)+(T9/70.94)+(T8/152.02*3)+(T13/60.09*2)+(T14/101.94*3)+(T15/40.32)+(T11/74.71)+(T5/94.2)+(T12/61.982)))</f>
        <v>5.2741819800029635E-3</v>
      </c>
      <c r="U20" s="83">
        <f>U7/79.9*(11/((U6/56.08)+(U7/79.9*2)+(U10/71.85)+(U9/70.94)+(U8/152.02*3)+(U13/60.09*2)+(U14/101.94*3)+(U15/40.32)+(U11/74.71)+(U5/94.2)+(U12/61.982)))</f>
        <v>1.016310503746201E-2</v>
      </c>
      <c r="V20" s="83">
        <f>V7/79.9*(11/((V6/56.08)+(V7/79.9*2)+(V10/71.85)+(V9/70.94)+(V8/152.02*3)+(V13/60.09*2)+(V14/101.94*3)+(V15/40.32)+(V11/74.71)+(V5/94.2)+(V12/61.982)))</f>
        <v>9.5625886567579001E-3</v>
      </c>
      <c r="AD20" s="82"/>
      <c r="AE20" s="82"/>
      <c r="AF20" s="82"/>
      <c r="AG20" s="82"/>
      <c r="AH20" s="82"/>
      <c r="AI20" s="82"/>
      <c r="AJ20" s="82"/>
      <c r="AK20" s="82"/>
      <c r="AL20" s="82"/>
      <c r="AM20" s="82"/>
    </row>
    <row r="21" spans="1:39">
      <c r="A21" s="4" t="s">
        <v>21</v>
      </c>
      <c r="B21" s="83">
        <f t="shared" ref="B21:Q21" si="4">B8/152.02*(11/((B6/56.08)+(B7/79.9*2)+(B10/71.85)+(B9/70.94)+(B8/152.02*3)+(B13/60.09*2)+(B14/101.94*3)+(B15/40.32)+(B11/74.71)+(B5/94.2)+(B12/61.982)))*2</f>
        <v>4.0664086776199823E-3</v>
      </c>
      <c r="C21" s="83">
        <f t="shared" si="4"/>
        <v>0</v>
      </c>
      <c r="D21" s="83">
        <f t="shared" si="4"/>
        <v>0</v>
      </c>
      <c r="E21" s="83">
        <f t="shared" si="4"/>
        <v>0</v>
      </c>
      <c r="F21" s="83">
        <f t="shared" si="4"/>
        <v>2.4807631633099901E-3</v>
      </c>
      <c r="G21" s="83">
        <f t="shared" si="4"/>
        <v>3.5814649858877346E-3</v>
      </c>
      <c r="H21" s="83">
        <f t="shared" si="4"/>
        <v>1.9583401115581538E-2</v>
      </c>
      <c r="I21" s="83">
        <f t="shared" si="4"/>
        <v>1.3785138870920581E-2</v>
      </c>
      <c r="J21" s="83">
        <f t="shared" si="4"/>
        <v>1.5029097525719284E-2</v>
      </c>
      <c r="K21" s="83">
        <f t="shared" si="4"/>
        <v>0</v>
      </c>
      <c r="L21" s="83">
        <f t="shared" si="4"/>
        <v>4.1294127296296551E-3</v>
      </c>
      <c r="M21" s="83">
        <f t="shared" si="4"/>
        <v>0</v>
      </c>
      <c r="N21" s="83">
        <f t="shared" si="4"/>
        <v>0</v>
      </c>
      <c r="O21" s="83">
        <f t="shared" si="4"/>
        <v>0</v>
      </c>
      <c r="P21" s="83">
        <f t="shared" si="4"/>
        <v>7.5532269705080096E-3</v>
      </c>
      <c r="Q21" s="83">
        <f t="shared" si="4"/>
        <v>0</v>
      </c>
      <c r="R21" s="83">
        <f>R8/152.02*(11/((R6/56.08)+(R7/79.9*2)+(R10/71.85)+(R9/70.94)+(R8/152.02*3)+(R13/60.09*2)+(R14/101.94*3)+(R15/40.32)+(R11/74.71)+(R5/94.2)+(R12/61.982)))*2</f>
        <v>0</v>
      </c>
      <c r="S21" s="83">
        <f>S8/152.02*(11/((S6/56.08)+(S7/79.9*2)+(S10/71.85)+(S9/70.94)+(S8/152.02*3)+(S13/60.09*2)+(S14/101.94*3)+(S15/40.32)+(S11/74.71)+(S5/94.2)+(S12/61.982)))*2</f>
        <v>2.9669129964620248E-3</v>
      </c>
      <c r="T21" s="83">
        <f>T8/152.02*(11/((T6/56.08)+(T7/79.9*2)+(T10/71.85)+(T9/70.94)+(T8/152.02*3)+(T13/60.09*2)+(T14/101.94*3)+(T15/40.32)+(T11/74.71)+(T5/94.2)+(T12/61.982)))*2</f>
        <v>3.5280644668950951E-3</v>
      </c>
      <c r="U21" s="83">
        <f>U8/152.02*(11/((U6/56.08)+(U7/79.9*2)+(U10/71.85)+(U9/70.94)+(U8/152.02*3)+(U13/60.09*2)+(U14/101.94*3)+(U15/40.32)+(U11/74.71)+(U5/94.2)+(U12/61.982)))*2</f>
        <v>1.1168828340376226E-2</v>
      </c>
      <c r="V21" s="83">
        <f>V8/152.02*(11/((V6/56.08)+(V7/79.9*2)+(V10/71.85)+(V9/70.94)+(V8/152.02*3)+(V13/60.09*2)+(V14/101.94*3)+(V15/40.32)+(V11/74.71)+(V5/94.2)+(V12/61.982)))*2</f>
        <v>0</v>
      </c>
      <c r="AD21" s="82"/>
      <c r="AE21" s="82"/>
      <c r="AF21" s="82"/>
      <c r="AG21" s="82"/>
      <c r="AH21" s="82"/>
      <c r="AI21" s="82"/>
      <c r="AJ21" s="82"/>
      <c r="AK21" s="82"/>
      <c r="AL21" s="82"/>
      <c r="AM21" s="82"/>
    </row>
    <row r="22" spans="1:39">
      <c r="A22" s="4" t="s">
        <v>22</v>
      </c>
      <c r="B22" s="83">
        <f t="shared" ref="B22:Q22" si="5">B10/71.85*(11/((B6/56.08)+(B7/79.9*2)+(B10/71.85)+(B9/70.94)+(B8/152.02*3)+(B13/60.09*2)+(B14/101.94*3)+(B15/40.32)+(B11/74.71)+(B5/94.2)+(B12/61.982)))</f>
        <v>8.119736649525075E-2</v>
      </c>
      <c r="C22" s="83">
        <f t="shared" si="5"/>
        <v>2.5514555014807389E-2</v>
      </c>
      <c r="D22" s="83">
        <f t="shared" si="5"/>
        <v>2.2604394394503735E-2</v>
      </c>
      <c r="E22" s="83">
        <f t="shared" si="5"/>
        <v>2.6252351037999458E-2</v>
      </c>
      <c r="F22" s="83">
        <f t="shared" si="5"/>
        <v>2.2044921190853387E-2</v>
      </c>
      <c r="G22" s="83">
        <f t="shared" si="5"/>
        <v>2.6521782533629603E-2</v>
      </c>
      <c r="H22" s="83">
        <f t="shared" si="5"/>
        <v>1.3984142869684945E-2</v>
      </c>
      <c r="I22" s="83">
        <f t="shared" si="5"/>
        <v>1.6145770242041391E-2</v>
      </c>
      <c r="J22" s="83">
        <f t="shared" si="5"/>
        <v>1.538637892019561E-2</v>
      </c>
      <c r="K22" s="83">
        <f t="shared" si="5"/>
        <v>1.9189275008674015E-2</v>
      </c>
      <c r="L22" s="83">
        <f t="shared" si="5"/>
        <v>2.0750370807250708E-2</v>
      </c>
      <c r="M22" s="83">
        <f t="shared" si="5"/>
        <v>1.7953550134126774E-2</v>
      </c>
      <c r="N22" s="83">
        <f t="shared" si="5"/>
        <v>1.7415799414195833E-2</v>
      </c>
      <c r="O22" s="83">
        <f t="shared" si="5"/>
        <v>4.7634550327871304E-2</v>
      </c>
      <c r="P22" s="83">
        <f t="shared" si="5"/>
        <v>3.0896780661231461E-2</v>
      </c>
      <c r="Q22" s="83">
        <f t="shared" si="5"/>
        <v>6.788362060718385E-2</v>
      </c>
      <c r="R22" s="83">
        <f>R10/71.85*(11/((R6/56.08)+(R7/79.9*2)+(R10/71.85)+(R9/70.94)+(R8/152.02*3)+(R13/60.09*2)+(R14/101.94*3)+(R15/40.32)+(R11/74.71)+(R5/94.2)+(R12/61.982)))</f>
        <v>3.7065167744550896E-2</v>
      </c>
      <c r="S22" s="83">
        <f>S10/71.85*(11/((S6/56.08)+(S7/79.9*2)+(S10/71.85)+(S9/70.94)+(S8/152.02*3)+(S13/60.09*2)+(S14/101.94*3)+(S15/40.32)+(S11/74.71)+(S5/94.2)+(S12/61.982)))</f>
        <v>3.6094963867813544E-2</v>
      </c>
      <c r="T22" s="83">
        <f>T10/71.85*(11/((T6/56.08)+(T7/79.9*2)+(T10/71.85)+(T9/70.94)+(T8/152.02*3)+(T13/60.09*2)+(T14/101.94*3)+(T15/40.32)+(T11/74.71)+(T5/94.2)+(T12/61.982)))</f>
        <v>3.4124194310043848E-2</v>
      </c>
      <c r="U22" s="83">
        <f>U10/71.85*(11/((U6/56.08)+(U7/79.9*2)+(U10/71.85)+(U9/70.94)+(U8/152.02*3)+(U13/60.09*2)+(U14/101.94*3)+(U15/40.32)+(U11/74.71)+(U5/94.2)+(U12/61.982)))</f>
        <v>5.3426543695384528E-2</v>
      </c>
      <c r="V22" s="83">
        <f>V10/71.85*(11/((V6/56.08)+(V7/79.9*2)+(V10/71.85)+(V9/70.94)+(V8/152.02*3)+(V13/60.09*2)+(V14/101.94*3)+(V15/40.32)+(V11/74.71)+(V5/94.2)+(V12/61.982)))</f>
        <v>4.2004186402450627E-2</v>
      </c>
      <c r="AD22" s="82"/>
      <c r="AE22" s="82"/>
      <c r="AF22" s="82"/>
      <c r="AG22" s="82"/>
      <c r="AH22" s="82"/>
      <c r="AI22" s="82"/>
      <c r="AJ22" s="82"/>
      <c r="AK22" s="82"/>
      <c r="AL22" s="82"/>
      <c r="AM22" s="82"/>
    </row>
    <row r="23" spans="1:39">
      <c r="A23" s="4" t="s">
        <v>23</v>
      </c>
      <c r="B23" s="83">
        <f t="shared" ref="B23:Q23" si="6">B9/70.94*(11/((B6/56.08)+(B7/79.9*2)+(B10/71.85)+(B9/70.94)+(B8/152.02*3)+(B13/60.09*2)+(B14/101.94*3)+(B15/40.32)+(B11/74.71)+(B5/94.2)+(B12/61.982)))</f>
        <v>0</v>
      </c>
      <c r="C23" s="83">
        <f t="shared" si="6"/>
        <v>2.7491328869675767E-3</v>
      </c>
      <c r="D23" s="83">
        <f t="shared" si="6"/>
        <v>0</v>
      </c>
      <c r="E23" s="83">
        <f t="shared" si="6"/>
        <v>0</v>
      </c>
      <c r="F23" s="83">
        <f t="shared" si="6"/>
        <v>5.316120892111428E-4</v>
      </c>
      <c r="G23" s="83">
        <f t="shared" si="6"/>
        <v>2.7410201133485712E-3</v>
      </c>
      <c r="H23" s="83">
        <f t="shared" si="6"/>
        <v>5.2457510529861596E-4</v>
      </c>
      <c r="I23" s="83">
        <f t="shared" si="6"/>
        <v>0</v>
      </c>
      <c r="J23" s="83">
        <f t="shared" si="6"/>
        <v>0</v>
      </c>
      <c r="K23" s="83">
        <f t="shared" si="6"/>
        <v>1.079746115162444E-3</v>
      </c>
      <c r="L23" s="83">
        <f t="shared" si="6"/>
        <v>3.3184028218827544E-3</v>
      </c>
      <c r="M23" s="83">
        <f t="shared" si="6"/>
        <v>0</v>
      </c>
      <c r="N23" s="83">
        <f t="shared" si="6"/>
        <v>0</v>
      </c>
      <c r="O23" s="83">
        <f t="shared" si="6"/>
        <v>3.7524350918464542E-3</v>
      </c>
      <c r="P23" s="83">
        <f t="shared" si="6"/>
        <v>0</v>
      </c>
      <c r="Q23" s="83">
        <f t="shared" si="6"/>
        <v>2.7068666992768422E-3</v>
      </c>
      <c r="R23" s="83">
        <f>R9/70.94*(11/((R6/56.08)+(R7/79.9*2)+(R10/71.85)+(R9/70.94)+(R8/152.02*3)+(R13/60.09*2)+(R14/101.94*3)+(R15/40.32)+(R11/74.71)+(R5/94.2)+(R12/61.982)))</f>
        <v>2.7603404517964453E-3</v>
      </c>
      <c r="S23" s="83">
        <f>S9/70.94*(11/((S6/56.08)+(S7/79.9*2)+(S10/71.85)+(S9/70.94)+(S8/152.02*3)+(S13/60.09*2)+(S14/101.94*3)+(S15/40.32)+(S11/74.71)+(S5/94.2)+(S12/61.982)))</f>
        <v>0</v>
      </c>
      <c r="T23" s="83">
        <f>T9/70.94*(11/((T6/56.08)+(T7/79.9*2)+(T10/71.85)+(T9/70.94)+(T8/152.02*3)+(T13/60.09*2)+(T14/101.94*3)+(T15/40.32)+(T11/74.71)+(T5/94.2)+(T12/61.982)))</f>
        <v>0</v>
      </c>
      <c r="U23" s="83">
        <f>U9/70.94*(11/((U6/56.08)+(U7/79.9*2)+(U10/71.85)+(U9/70.94)+(U8/152.02*3)+(U13/60.09*2)+(U14/101.94*3)+(U15/40.32)+(U11/74.71)+(U5/94.2)+(U12/61.982)))</f>
        <v>5.2030659231438515E-4</v>
      </c>
      <c r="V23" s="83">
        <f>V9/70.94*(11/((V6/56.08)+(V7/79.9*2)+(V10/71.85)+(V9/70.94)+(V8/152.02*3)+(V13/60.09*2)+(V14/101.94*3)+(V15/40.32)+(V11/74.71)+(V5/94.2)+(V12/61.982)))</f>
        <v>0</v>
      </c>
      <c r="AD23" s="82"/>
      <c r="AE23" s="82"/>
      <c r="AF23" s="82"/>
      <c r="AG23" s="82"/>
      <c r="AH23" s="82"/>
      <c r="AI23" s="82"/>
      <c r="AJ23" s="82"/>
      <c r="AK23" s="82"/>
      <c r="AL23" s="82"/>
      <c r="AM23" s="82"/>
    </row>
    <row r="24" spans="1:39">
      <c r="A24" s="4" t="s">
        <v>24</v>
      </c>
      <c r="B24" s="83">
        <f t="shared" ref="B24:Q24" si="7">B15/40.32*(11/((B6/56.08)+(B7/79.9*2)+(B10/71.85)+(B9/70.94)+(B8/152.02*3)+(B13/60.09*2)+(B14/101.94*3)+(B15/40.32)+(B11/74.71)+(B5/94.2)+(B12/61.982)))</f>
        <v>9.5823327004555695E-4</v>
      </c>
      <c r="C24" s="83">
        <f t="shared" si="7"/>
        <v>2.0314946562654153E-2</v>
      </c>
      <c r="D24" s="83">
        <f t="shared" si="7"/>
        <v>1.4386034378942507E-2</v>
      </c>
      <c r="E24" s="83">
        <f t="shared" si="7"/>
        <v>1.4320877536445129E-2</v>
      </c>
      <c r="F24" s="83">
        <f t="shared" si="7"/>
        <v>2.1512621949372146E-2</v>
      </c>
      <c r="G24" s="83">
        <f t="shared" si="7"/>
        <v>2.8935709351331492E-2</v>
      </c>
      <c r="H24" s="83">
        <f t="shared" si="7"/>
        <v>1.8459006929505865E-2</v>
      </c>
      <c r="I24" s="83">
        <f t="shared" si="7"/>
        <v>2.4131075100132432E-2</v>
      </c>
      <c r="J24" s="83">
        <f t="shared" si="7"/>
        <v>1.7365009245126517E-2</v>
      </c>
      <c r="K24" s="83">
        <f t="shared" si="7"/>
        <v>1.5197855041592019E-2</v>
      </c>
      <c r="L24" s="83">
        <f t="shared" si="7"/>
        <v>2.238083834424744E-2</v>
      </c>
      <c r="M24" s="83">
        <f t="shared" si="7"/>
        <v>1.9195871683586437E-2</v>
      </c>
      <c r="N24" s="83">
        <f t="shared" si="7"/>
        <v>1.9168584373620866E-2</v>
      </c>
      <c r="O24" s="83">
        <f t="shared" si="7"/>
        <v>4.9987530141107336E-2</v>
      </c>
      <c r="P24" s="83">
        <f t="shared" si="7"/>
        <v>1.708692803655696E-2</v>
      </c>
      <c r="Q24" s="83">
        <f t="shared" si="7"/>
        <v>1.2382572457376435E-2</v>
      </c>
      <c r="R24" s="83">
        <f>R15/40.32*(11/((R6/56.08)+(R7/79.9*2)+(R10/71.85)+(R9/70.94)+(R8/152.02*3)+(R13/60.09*2)+(R14/101.94*3)+(R15/40.32)+(R11/74.71)+(R5/94.2)+(R12/61.982)))</f>
        <v>1.6512477073697806E-2</v>
      </c>
      <c r="S24" s="83">
        <f>S15/40.32*(11/((S6/56.08)+(S7/79.9*2)+(S10/71.85)+(S9/70.94)+(S8/152.02*3)+(S13/60.09*2)+(S14/101.94*3)+(S15/40.32)+(S11/74.71)+(S5/94.2)+(S12/61.982)))</f>
        <v>1.3982828426406158E-2</v>
      </c>
      <c r="T24" s="83">
        <f>T15/40.32*(11/((T6/56.08)+(T7/79.9*2)+(T10/71.85)+(T9/70.94)+(T8/152.02*3)+(T13/60.09*2)+(T14/101.94*3)+(T15/40.32)+(T11/74.71)+(T5/94.2)+(T12/61.982)))</f>
        <v>1.5202277785073477E-2</v>
      </c>
      <c r="U24" s="83">
        <f>U15/40.32*(11/((U6/56.08)+(U7/79.9*2)+(U10/71.85)+(U9/70.94)+(U8/152.02*3)+(U13/60.09*2)+(U14/101.94*3)+(U15/40.32)+(U11/74.71)+(U5/94.2)+(U12/61.982)))</f>
        <v>3.8448489227898411E-2</v>
      </c>
      <c r="V24" s="83">
        <f>V15/40.32*(11/((V6/56.08)+(V7/79.9*2)+(V10/71.85)+(V9/70.94)+(V8/152.02*3)+(V13/60.09*2)+(V14/101.94*3)+(V15/40.32)+(V11/74.71)+(V5/94.2)+(V12/61.982)))</f>
        <v>2.1792124472375985E-2</v>
      </c>
      <c r="AD24" s="82"/>
      <c r="AE24" s="82"/>
      <c r="AF24" s="82"/>
      <c r="AG24" s="82"/>
      <c r="AH24" s="82"/>
      <c r="AI24" s="82"/>
      <c r="AJ24" s="82"/>
      <c r="AK24" s="82"/>
      <c r="AL24" s="82"/>
      <c r="AM24" s="82"/>
    </row>
    <row r="25" spans="1:39">
      <c r="A25" s="4" t="s">
        <v>25</v>
      </c>
      <c r="B25" s="83">
        <f t="shared" ref="B25:Q25" si="8">B11/74.71*(11/((B6/56.08)+(B7/79.9*2)+(B10/71.85)+(B9/70.94)+(B8/152.02*3)+(B13/60.09*2)+(B14/101.94*3)+(B15/40.32)+(B11/74.71)+(B5/94.2)+(B12/61.982)))</f>
        <v>0</v>
      </c>
      <c r="C25" s="83">
        <f t="shared" si="8"/>
        <v>0</v>
      </c>
      <c r="D25" s="83">
        <f t="shared" si="8"/>
        <v>0</v>
      </c>
      <c r="E25" s="83">
        <f t="shared" si="8"/>
        <v>0</v>
      </c>
      <c r="F25" s="83">
        <f t="shared" si="8"/>
        <v>0</v>
      </c>
      <c r="G25" s="83">
        <f t="shared" si="8"/>
        <v>0</v>
      </c>
      <c r="H25" s="83">
        <f t="shared" si="8"/>
        <v>1.4943123264576556E-3</v>
      </c>
      <c r="I25" s="83">
        <f t="shared" si="8"/>
        <v>0</v>
      </c>
      <c r="J25" s="83">
        <f t="shared" si="8"/>
        <v>3.9459646648500584E-3</v>
      </c>
      <c r="K25" s="83">
        <f t="shared" si="8"/>
        <v>0</v>
      </c>
      <c r="L25" s="83">
        <f t="shared" si="8"/>
        <v>0</v>
      </c>
      <c r="M25" s="83">
        <f t="shared" si="8"/>
        <v>0</v>
      </c>
      <c r="N25" s="83">
        <f t="shared" si="8"/>
        <v>0</v>
      </c>
      <c r="O25" s="83">
        <f t="shared" si="8"/>
        <v>5.0901150241043939E-4</v>
      </c>
      <c r="P25" s="83">
        <f t="shared" si="8"/>
        <v>3.0738631081692618E-3</v>
      </c>
      <c r="Q25" s="83">
        <f t="shared" si="8"/>
        <v>0</v>
      </c>
      <c r="R25" s="83">
        <f>R11/74.71*(11/((R6/56.08)+(R7/79.9*2)+(R10/71.85)+(R9/70.94)+(R8/152.02*3)+(R13/60.09*2)+(R14/101.94*3)+(R15/40.32)+(R11/74.71)+(R5/94.2)+(R12/61.982)))</f>
        <v>3.1452584925783398E-3</v>
      </c>
      <c r="S25" s="83">
        <f>S11/74.71*(11/((S6/56.08)+(S7/79.9*2)+(S10/71.85)+(S9/70.94)+(S8/152.02*3)+(S13/60.09*2)+(S14/101.94*3)+(S15/40.32)+(S11/74.71)+(S5/94.2)+(S12/61.982)))</f>
        <v>0</v>
      </c>
      <c r="T25" s="83">
        <f>T11/74.71*(11/((T6/56.08)+(T7/79.9*2)+(T10/71.85)+(T9/70.94)+(T8/152.02*3)+(T13/60.09*2)+(T14/101.94*3)+(T15/40.32)+(T11/74.71)+(T5/94.2)+(T12/61.982)))</f>
        <v>1.5383378403848948E-3</v>
      </c>
      <c r="U25" s="83">
        <f>U11/74.71*(11/((U6/56.08)+(U7/79.9*2)+(U10/71.85)+(U9/70.94)+(U8/152.02*3)+(U13/60.09*2)+(U14/101.94*3)+(U15/40.32)+(U11/74.71)+(U5/94.2)+(U12/61.982)))</f>
        <v>9.8810198524380897E-4</v>
      </c>
      <c r="V25" s="83">
        <f>V11/74.71*(11/((V6/56.08)+(V7/79.9*2)+(V10/71.85)+(V9/70.94)+(V8/152.02*3)+(V13/60.09*2)+(V14/101.94*3)+(V15/40.32)+(V11/74.71)+(V5/94.2)+(V12/61.982)))</f>
        <v>3.0680665252641797E-3</v>
      </c>
      <c r="AD25" s="82"/>
      <c r="AE25" s="82"/>
      <c r="AF25" s="82"/>
      <c r="AG25" s="82"/>
      <c r="AH25" s="82"/>
      <c r="AI25" s="82"/>
      <c r="AJ25" s="82"/>
      <c r="AK25" s="82"/>
      <c r="AL25" s="82"/>
      <c r="AM25" s="82"/>
    </row>
    <row r="26" spans="1:39">
      <c r="A26" s="4" t="s">
        <v>26</v>
      </c>
      <c r="B26" s="83">
        <f t="shared" ref="B26:Q26" si="9">B6/56.08*(11/((B6/56.08)+(B7/79.9*2)+(B10/71.85)+(B9/70.94)+(B8/152.02*3)+(B13/60.09*2)+(B14/101.94*3)+(B15/40.32)+(B11/74.71)+(B5/94.2)+(B12/61.982)))</f>
        <v>1.3778874981539536E-3</v>
      </c>
      <c r="C26" s="83">
        <f t="shared" si="9"/>
        <v>3.4080423905394133E-2</v>
      </c>
      <c r="D26" s="83">
        <f t="shared" si="9"/>
        <v>3.309814015172393E-2</v>
      </c>
      <c r="E26" s="83">
        <f t="shared" si="9"/>
        <v>2.677043926356305E-2</v>
      </c>
      <c r="F26" s="83">
        <f t="shared" si="9"/>
        <v>2.9589028366264137E-2</v>
      </c>
      <c r="G26" s="83">
        <f t="shared" si="9"/>
        <v>2.6351721611825998E-2</v>
      </c>
      <c r="H26" s="83">
        <f t="shared" si="9"/>
        <v>2.9197356467098572E-2</v>
      </c>
      <c r="I26" s="83">
        <f t="shared" si="9"/>
        <v>2.2020632122539369E-2</v>
      </c>
      <c r="J26" s="83">
        <f t="shared" si="9"/>
        <v>2.3655734495350664E-2</v>
      </c>
      <c r="K26" s="83">
        <f t="shared" si="9"/>
        <v>3.0731753953575875E-2</v>
      </c>
      <c r="L26" s="83">
        <f t="shared" si="9"/>
        <v>2.588586946867991E-2</v>
      </c>
      <c r="M26" s="83">
        <f t="shared" si="9"/>
        <v>2.6945417598643443E-2</v>
      </c>
      <c r="N26" s="83">
        <f t="shared" si="9"/>
        <v>2.6907114156409319E-2</v>
      </c>
      <c r="O26" s="83">
        <f t="shared" si="9"/>
        <v>2.7124286266108362E-2</v>
      </c>
      <c r="P26" s="83">
        <f t="shared" si="9"/>
        <v>2.1840067789950124E-2</v>
      </c>
      <c r="Q26" s="83">
        <f t="shared" si="9"/>
        <v>3.2871633149220973E-2</v>
      </c>
      <c r="R26" s="83">
        <f>R6/56.08*(11/((R6/56.08)+(R7/79.9*2)+(R10/71.85)+(R9/70.94)+(R8/152.02*3)+(R13/60.09*2)+(R14/101.94*3)+(R15/40.32)+(R11/74.71)+(R5/94.2)+(R12/61.982)))</f>
        <v>3.0029235809446903E-2</v>
      </c>
      <c r="S26" s="83">
        <f>S6/56.08*(11/((S6/56.08)+(S7/79.9*2)+(S10/71.85)+(S9/70.94)+(S8/152.02*3)+(S13/60.09*2)+(S14/101.94*3)+(S15/40.32)+(S11/74.71)+(S5/94.2)+(S12/61.982)))</f>
        <v>2.4798077460353975E-2</v>
      </c>
      <c r="T26" s="83">
        <f>T6/56.08*(11/((T6/56.08)+(T7/79.9*2)+(T10/71.85)+(T9/70.94)+(T8/152.02*3)+(T13/60.09*2)+(T14/101.94*3)+(T15/40.32)+(T11/74.71)+(T5/94.2)+(T12/61.982)))</f>
        <v>2.2543177970875721E-2</v>
      </c>
      <c r="U26" s="83">
        <f>U6/56.08*(11/((U6/56.08)+(U7/79.9*2)+(U10/71.85)+(U9/70.94)+(U8/152.02*3)+(U13/60.09*2)+(U14/101.94*3)+(U15/40.32)+(U11/74.71)+(U5/94.2)+(U12/61.982)))</f>
        <v>0.12439539738783681</v>
      </c>
      <c r="V26" s="83">
        <f>V6/56.08*(11/((V6/56.08)+(V7/79.9*2)+(V10/71.85)+(V9/70.94)+(V8/152.02*3)+(V13/60.09*2)+(V14/101.94*3)+(V15/40.32)+(V11/74.71)+(V5/94.2)+(V12/61.982)))</f>
        <v>1.2261871439148727E-2</v>
      </c>
      <c r="AD26" s="82"/>
      <c r="AE26" s="82"/>
      <c r="AF26" s="82"/>
      <c r="AG26" s="82"/>
      <c r="AH26" s="82"/>
      <c r="AI26" s="82"/>
      <c r="AJ26" s="82"/>
      <c r="AK26" s="82"/>
      <c r="AL26" s="82"/>
      <c r="AM26" s="82"/>
    </row>
    <row r="27" spans="1:39">
      <c r="A27" s="4" t="s">
        <v>27</v>
      </c>
      <c r="B27" s="83">
        <f t="shared" ref="B27:Q27" si="10">B12/61.982*(11/((B6/56.08)+(B7/79.9*2)+(B10/71.85)+(B9/70.94)+(B8/152.02*3)+(B13/60.09*2)+(B14/101.94*3)+(B15/40.32)+(B11/74.71)+(B5/94.2)+(B12/61.982)))*2</f>
        <v>0.96119290634670129</v>
      </c>
      <c r="C27" s="83">
        <f t="shared" si="10"/>
        <v>0.87219693776919471</v>
      </c>
      <c r="D27" s="83">
        <f t="shared" si="10"/>
        <v>0.91212034978370304</v>
      </c>
      <c r="E27" s="83">
        <f t="shared" si="10"/>
        <v>0.92041039153663007</v>
      </c>
      <c r="F27" s="83">
        <f t="shared" si="10"/>
        <v>0.80436266087928865</v>
      </c>
      <c r="G27" s="83">
        <f t="shared" si="10"/>
        <v>0.90099474164628701</v>
      </c>
      <c r="H27" s="83">
        <f t="shared" si="10"/>
        <v>0.71446381181894336</v>
      </c>
      <c r="I27" s="83">
        <f t="shared" si="10"/>
        <v>0.68827677065212922</v>
      </c>
      <c r="J27" s="83">
        <f t="shared" si="10"/>
        <v>0.75030132010102968</v>
      </c>
      <c r="K27" s="83">
        <f t="shared" si="10"/>
        <v>0.83539898746258068</v>
      </c>
      <c r="L27" s="83">
        <f t="shared" si="10"/>
        <v>0.84948549546485164</v>
      </c>
      <c r="M27" s="83">
        <f t="shared" si="10"/>
        <v>0.77658081643100685</v>
      </c>
      <c r="N27" s="83">
        <f t="shared" si="10"/>
        <v>0.73747496112921918</v>
      </c>
      <c r="O27" s="83">
        <f t="shared" si="10"/>
        <v>0.7779648957691977</v>
      </c>
      <c r="P27" s="83">
        <f t="shared" si="10"/>
        <v>0.72866587374120495</v>
      </c>
      <c r="Q27" s="83">
        <f t="shared" si="10"/>
        <v>0.83648129109433023</v>
      </c>
      <c r="R27" s="83">
        <f>R12/61.982*(11/((R6/56.08)+(R7/79.9*2)+(R10/71.85)+(R9/70.94)+(R8/152.02*3)+(R13/60.09*2)+(R14/101.94*3)+(R15/40.32)+(R11/74.71)+(R5/94.2)+(R12/61.982)))*2</f>
        <v>0.89723578891815214</v>
      </c>
      <c r="S27" s="83">
        <f>S12/61.982*(11/((S6/56.08)+(S7/79.9*2)+(S10/71.85)+(S9/70.94)+(S8/152.02*3)+(S13/60.09*2)+(S14/101.94*3)+(S15/40.32)+(S11/74.71)+(S5/94.2)+(S12/61.982)))*2</f>
        <v>0.79317031389298709</v>
      </c>
      <c r="T27" s="83">
        <f>T12/61.982*(11/((T6/56.08)+(T7/79.9*2)+(T10/71.85)+(T9/70.94)+(T8/152.02*3)+(T13/60.09*2)+(T14/101.94*3)+(T15/40.32)+(T11/74.71)+(T5/94.2)+(T12/61.982)))*2</f>
        <v>0.80350201710013736</v>
      </c>
      <c r="U27" s="83">
        <f>U12/61.982*(11/((U6/56.08)+(U7/79.9*2)+(U10/71.85)+(U9/70.94)+(U8/152.02*3)+(U13/60.09*2)+(U14/101.94*3)+(U15/40.32)+(U11/74.71)+(U5/94.2)+(U12/61.982)))*2</f>
        <v>0.7038861233371122</v>
      </c>
      <c r="V27" s="83">
        <f>V12/61.982*(11/((V6/56.08)+(V7/79.9*2)+(V10/71.85)+(V9/70.94)+(V8/152.02*3)+(V13/60.09*2)+(V14/101.94*3)+(V15/40.32)+(V11/74.71)+(V5/94.2)+(V12/61.982)))*2</f>
        <v>0.89370600241093101</v>
      </c>
      <c r="AD27" s="82"/>
      <c r="AE27" s="82"/>
      <c r="AF27" s="82"/>
      <c r="AG27" s="82"/>
      <c r="AH27" s="82"/>
      <c r="AI27" s="82"/>
      <c r="AJ27" s="82"/>
      <c r="AK27" s="82"/>
      <c r="AL27" s="82"/>
      <c r="AM27" s="82"/>
    </row>
    <row r="28" spans="1:39">
      <c r="A28" s="4" t="s">
        <v>28</v>
      </c>
      <c r="B28" s="83">
        <f t="shared" ref="B28:Q28" si="11">B5/94.2*(11/((B6/56.08)+(B7/79.9*2)+(B10/71.85)+(B9/70.94)+(B8/152.02*3)+(B13/60.09*2)+(B14/101.94*3)+(B15/40.32)+(B11/74.71)+(B5/94.2)+(B12/61.982)))*2</f>
        <v>1.7226226632971849E-2</v>
      </c>
      <c r="C28" s="83">
        <f t="shared" si="11"/>
        <v>4.3062510930263073E-2</v>
      </c>
      <c r="D28" s="83">
        <f t="shared" si="11"/>
        <v>1.4778214169655078E-2</v>
      </c>
      <c r="E28" s="83">
        <f t="shared" si="11"/>
        <v>1.7980454649580025E-2</v>
      </c>
      <c r="F28" s="83">
        <f t="shared" si="11"/>
        <v>2.8824887853736408E-2</v>
      </c>
      <c r="G28" s="83">
        <f t="shared" si="11"/>
        <v>3.2201574126526356E-2</v>
      </c>
      <c r="H28" s="83">
        <f t="shared" si="11"/>
        <v>4.0294718820893305E-2</v>
      </c>
      <c r="I28" s="83">
        <f t="shared" si="11"/>
        <v>0.11758844709254145</v>
      </c>
      <c r="J28" s="83">
        <f t="shared" si="11"/>
        <v>8.3715294989043051E-2</v>
      </c>
      <c r="K28" s="83">
        <f t="shared" si="11"/>
        <v>9.025783465465223E-2</v>
      </c>
      <c r="L28" s="83">
        <f t="shared" si="11"/>
        <v>9.3296672231594532E-2</v>
      </c>
      <c r="M28" s="83">
        <f t="shared" si="11"/>
        <v>6.2600549694243668E-2</v>
      </c>
      <c r="N28" s="83">
        <f t="shared" si="11"/>
        <v>9.845570980183356E-2</v>
      </c>
      <c r="O28" s="83">
        <f t="shared" si="11"/>
        <v>4.1177085278116345E-2</v>
      </c>
      <c r="P28" s="83">
        <f t="shared" si="11"/>
        <v>0.12026875547089944</v>
      </c>
      <c r="Q28" s="83">
        <f t="shared" si="11"/>
        <v>1.2230899595331156E-2</v>
      </c>
      <c r="R28" s="83">
        <f>R5/94.2*(11/((R6/56.08)+(R7/79.9*2)+(R10/71.85)+(R9/70.94)+(R8/152.02*3)+(R13/60.09*2)+(R14/101.94*3)+(R15/40.32)+(R11/74.71)+(R5/94.2)+(R12/61.982)))*2</f>
        <v>2.8271043550381972E-2</v>
      </c>
      <c r="S28" s="83">
        <f>S5/94.2*(11/((S6/56.08)+(S7/79.9*2)+(S10/71.85)+(S9/70.94)+(S8/152.02*3)+(S13/60.09*2)+(S14/101.94*3)+(S15/40.32)+(S11/74.71)+(S5/94.2)+(S12/61.982)))*2</f>
        <v>3.5910040901445624E-2</v>
      </c>
      <c r="T28" s="83">
        <f>T5/94.2*(11/((T6/56.08)+(T7/79.9*2)+(T10/71.85)+(T9/70.94)+(T8/152.02*3)+(T13/60.09*2)+(T14/101.94*3)+(T15/40.32)+(T11/74.71)+(T5/94.2)+(T12/61.982)))*2</f>
        <v>2.0334256909970892E-2</v>
      </c>
      <c r="U28" s="83">
        <f>U5/94.2*(11/((U6/56.08)+(U7/79.9*2)+(U10/71.85)+(U9/70.94)+(U8/152.02*3)+(U13/60.09*2)+(U14/101.94*3)+(U15/40.32)+(U11/74.71)+(U5/94.2)+(U12/61.982)))*2</f>
        <v>1.253861559534012E-2</v>
      </c>
      <c r="V28" s="83">
        <f>V5/94.2*(11/((V6/56.08)+(V7/79.9*2)+(V10/71.85)+(V9/70.94)+(V8/152.02*3)+(V13/60.09*2)+(V14/101.94*3)+(V15/40.32)+(V11/74.71)+(V5/94.2)+(V12/61.982)))*2</f>
        <v>3.0010489220778536E-2</v>
      </c>
      <c r="AD28" s="82"/>
      <c r="AE28" s="82"/>
      <c r="AF28" s="82"/>
      <c r="AG28" s="82"/>
      <c r="AH28" s="82"/>
      <c r="AI28" s="82"/>
      <c r="AJ28" s="82"/>
      <c r="AK28" s="82"/>
      <c r="AL28" s="82"/>
      <c r="AM28" s="82"/>
    </row>
    <row r="29" spans="1:39">
      <c r="A29" s="75" t="s">
        <v>403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AD29" s="82"/>
      <c r="AE29" s="82"/>
      <c r="AF29" s="82"/>
      <c r="AG29" s="82"/>
      <c r="AH29" s="82"/>
      <c r="AI29" s="82"/>
      <c r="AJ29" s="82"/>
      <c r="AK29" s="82"/>
      <c r="AL29" s="82"/>
      <c r="AM29" s="82"/>
    </row>
    <row r="30" spans="1:39" s="97" customFormat="1">
      <c r="A30" s="89" t="s">
        <v>349</v>
      </c>
      <c r="B30" s="83">
        <f t="shared" ref="B30:Q30" si="12">2*B18</f>
        <v>5.9526005678112304</v>
      </c>
      <c r="C30" s="83">
        <f t="shared" si="12"/>
        <v>6.009410692826429</v>
      </c>
      <c r="D30" s="83">
        <f t="shared" si="12"/>
        <v>5.9796719010695885</v>
      </c>
      <c r="E30" s="83">
        <f t="shared" si="12"/>
        <v>5.9461827869586701</v>
      </c>
      <c r="F30" s="83">
        <f t="shared" si="12"/>
        <v>5.9772747006269391</v>
      </c>
      <c r="G30" s="83">
        <f t="shared" si="12"/>
        <v>5.9178971835367777</v>
      </c>
      <c r="H30" s="83">
        <f t="shared" si="12"/>
        <v>6.0108645773954459</v>
      </c>
      <c r="I30" s="83">
        <f t="shared" si="12"/>
        <v>6.0582222912472563</v>
      </c>
      <c r="J30" s="83">
        <f t="shared" si="12"/>
        <v>6.0098801736713447</v>
      </c>
      <c r="K30" s="83">
        <f t="shared" si="12"/>
        <v>5.998774727270586</v>
      </c>
      <c r="L30" s="83">
        <f t="shared" si="12"/>
        <v>5.9860651384540864</v>
      </c>
      <c r="M30" s="83">
        <f t="shared" si="12"/>
        <v>6.0132625377415936</v>
      </c>
      <c r="N30" s="83">
        <f t="shared" si="12"/>
        <v>6.0010397106016899</v>
      </c>
      <c r="O30" s="83">
        <f t="shared" si="12"/>
        <v>6.0057927489573375</v>
      </c>
      <c r="P30" s="83">
        <f t="shared" si="12"/>
        <v>5.9453523930241099</v>
      </c>
      <c r="Q30" s="83">
        <f t="shared" si="12"/>
        <v>5.8761157823523114</v>
      </c>
      <c r="R30" s="83">
        <f>2*R18</f>
        <v>5.8657579126442281</v>
      </c>
      <c r="S30" s="83">
        <f>2*S18</f>
        <v>6.0572691258742006</v>
      </c>
      <c r="T30" s="83">
        <f>2*T18</f>
        <v>6.0094459879064495</v>
      </c>
      <c r="U30" s="83">
        <f>2*U18</f>
        <v>5.6585119563438875</v>
      </c>
      <c r="V30" s="83">
        <f>2*V18</f>
        <v>6.0091599932565201</v>
      </c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</row>
    <row r="31" spans="1:39" s="97" customFormat="1">
      <c r="A31" s="89" t="s">
        <v>404</v>
      </c>
      <c r="B31" s="83">
        <f t="shared" ref="B31:Q31" si="13">(8-B30)</f>
        <v>2.0473994321887696</v>
      </c>
      <c r="C31" s="83">
        <f t="shared" si="13"/>
        <v>1.990589307173571</v>
      </c>
      <c r="D31" s="83">
        <f t="shared" si="13"/>
        <v>2.0203280989304115</v>
      </c>
      <c r="E31" s="83">
        <f t="shared" si="13"/>
        <v>2.0538172130413299</v>
      </c>
      <c r="F31" s="83">
        <f t="shared" si="13"/>
        <v>2.0227252993730609</v>
      </c>
      <c r="G31" s="83">
        <f t="shared" si="13"/>
        <v>2.0821028164632223</v>
      </c>
      <c r="H31" s="83">
        <f t="shared" si="13"/>
        <v>1.9891354226045541</v>
      </c>
      <c r="I31" s="83">
        <f t="shared" si="13"/>
        <v>1.9417777087527437</v>
      </c>
      <c r="J31" s="83">
        <f t="shared" si="13"/>
        <v>1.9901198263286553</v>
      </c>
      <c r="K31" s="83">
        <f t="shared" si="13"/>
        <v>2.001225272729414</v>
      </c>
      <c r="L31" s="83">
        <f t="shared" si="13"/>
        <v>2.0139348615459136</v>
      </c>
      <c r="M31" s="83">
        <f t="shared" si="13"/>
        <v>1.9867374622584064</v>
      </c>
      <c r="N31" s="83">
        <f t="shared" si="13"/>
        <v>1.9989602893983101</v>
      </c>
      <c r="O31" s="83">
        <f t="shared" si="13"/>
        <v>1.9942072510426625</v>
      </c>
      <c r="P31" s="83">
        <f t="shared" si="13"/>
        <v>2.0546476069758901</v>
      </c>
      <c r="Q31" s="83">
        <f t="shared" si="13"/>
        <v>2.1238842176476886</v>
      </c>
      <c r="R31" s="83">
        <f>(8-R30)</f>
        <v>2.1342420873557719</v>
      </c>
      <c r="S31" s="83">
        <f>(8-S30)</f>
        <v>1.9427308741257994</v>
      </c>
      <c r="T31" s="83">
        <f>(8-T30)</f>
        <v>1.9905540120935505</v>
      </c>
      <c r="U31" s="83">
        <f>(8-U30)</f>
        <v>2.3414880436561125</v>
      </c>
      <c r="V31" s="83">
        <f>(8-V30)</f>
        <v>1.9908400067434799</v>
      </c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</row>
    <row r="32" spans="1:39" s="97" customFormat="1">
      <c r="A32" s="89" t="s">
        <v>405</v>
      </c>
      <c r="B32" s="83">
        <f t="shared" ref="B32:Q32" si="14">(2*B19-B31)</f>
        <v>3.893913049335274</v>
      </c>
      <c r="C32" s="83">
        <f t="shared" si="14"/>
        <v>3.943144725431786</v>
      </c>
      <c r="D32" s="83">
        <f t="shared" si="14"/>
        <v>3.9504434810460847</v>
      </c>
      <c r="E32" s="83">
        <f t="shared" si="14"/>
        <v>3.9563727173758085</v>
      </c>
      <c r="F32" s="83">
        <f t="shared" si="14"/>
        <v>4.0029977090780227</v>
      </c>
      <c r="G32" s="83">
        <f t="shared" si="14"/>
        <v>3.9455171091537533</v>
      </c>
      <c r="H32" s="83">
        <f t="shared" si="14"/>
        <v>4.0283748067025371</v>
      </c>
      <c r="I32" s="83">
        <f t="shared" si="14"/>
        <v>3.983145798786631</v>
      </c>
      <c r="J32" s="83">
        <f t="shared" si="14"/>
        <v>3.9759252049533282</v>
      </c>
      <c r="K32" s="83">
        <f t="shared" si="14"/>
        <v>3.9438106563361481</v>
      </c>
      <c r="L32" s="83">
        <f t="shared" si="14"/>
        <v>3.9132043727081971</v>
      </c>
      <c r="M32" s="83">
        <f t="shared" si="14"/>
        <v>4.0062611303655613</v>
      </c>
      <c r="N32" s="83">
        <f t="shared" si="14"/>
        <v>4.0071811046368975</v>
      </c>
      <c r="O32" s="83">
        <f t="shared" si="14"/>
        <v>3.9237851720533872</v>
      </c>
      <c r="P32" s="83">
        <f t="shared" si="14"/>
        <v>3.9797969739926931</v>
      </c>
      <c r="Q32" s="83">
        <f t="shared" si="14"/>
        <v>3.9838483790960568</v>
      </c>
      <c r="R32" s="83">
        <f>(2*R19-R31)</f>
        <v>3.9619885926308456</v>
      </c>
      <c r="S32" s="83">
        <f>(2*S19-S31)</f>
        <v>3.9727808194834218</v>
      </c>
      <c r="T32" s="83">
        <f>(2*T19-T31)</f>
        <v>3.9952958899354751</v>
      </c>
      <c r="U32" s="83">
        <f>(2*U19-U31)</f>
        <v>3.9630684666315137</v>
      </c>
      <c r="V32" s="83">
        <f>(2*V19-V31)</f>
        <v>3.9168004396230147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</row>
    <row r="33" spans="1:39" s="97" customFormat="1">
      <c r="A33" s="89" t="s">
        <v>352</v>
      </c>
      <c r="B33" s="83">
        <f t="shared" ref="B33:Q34" si="15">2*B20</f>
        <v>1.2572404276022006E-2</v>
      </c>
      <c r="C33" s="83">
        <f t="shared" si="15"/>
        <v>0</v>
      </c>
      <c r="D33" s="83">
        <f t="shared" si="15"/>
        <v>8.7115630461921684E-3</v>
      </c>
      <c r="E33" s="83">
        <f t="shared" si="15"/>
        <v>9.6356742973628309E-3</v>
      </c>
      <c r="F33" s="83">
        <f t="shared" si="15"/>
        <v>9.4399403275690803E-3</v>
      </c>
      <c r="G33" s="83">
        <f t="shared" si="15"/>
        <v>4.8672832751175876E-3</v>
      </c>
      <c r="H33" s="83">
        <f t="shared" si="15"/>
        <v>5.5889899328986957E-3</v>
      </c>
      <c r="I33" s="83">
        <f t="shared" si="15"/>
        <v>1.2177283454785224E-2</v>
      </c>
      <c r="J33" s="83">
        <f t="shared" si="15"/>
        <v>1.568101170802914E-2</v>
      </c>
      <c r="K33" s="83">
        <f t="shared" si="15"/>
        <v>1.3421284752624944E-2</v>
      </c>
      <c r="L33" s="83">
        <f t="shared" si="15"/>
        <v>1.865975147060029E-2</v>
      </c>
      <c r="M33" s="83">
        <f t="shared" si="15"/>
        <v>8.3029953114486521E-3</v>
      </c>
      <c r="N33" s="83">
        <f t="shared" si="15"/>
        <v>1.2897410462150913E-2</v>
      </c>
      <c r="O33" s="83">
        <f t="shared" si="15"/>
        <v>1.7134129867622291E-2</v>
      </c>
      <c r="P33" s="83">
        <f t="shared" si="15"/>
        <v>2.0119376591730648E-2</v>
      </c>
      <c r="Q33" s="83">
        <f t="shared" si="15"/>
        <v>2.8839818319904755E-3</v>
      </c>
      <c r="R33" s="83">
        <f t="shared" ref="R33:V34" si="16">2*R20</f>
        <v>9.8031815594713297E-3</v>
      </c>
      <c r="S33" s="83">
        <f t="shared" si="16"/>
        <v>1.2230687272398918E-2</v>
      </c>
      <c r="T33" s="83">
        <f t="shared" si="16"/>
        <v>1.0548363960005927E-2</v>
      </c>
      <c r="U33" s="83">
        <f t="shared" si="16"/>
        <v>2.0326210074924019E-2</v>
      </c>
      <c r="V33" s="83">
        <f t="shared" si="16"/>
        <v>1.91251773135158E-2</v>
      </c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</row>
    <row r="34" spans="1:39" s="97" customFormat="1">
      <c r="A34" s="89" t="s">
        <v>353</v>
      </c>
      <c r="B34" s="83">
        <f t="shared" si="15"/>
        <v>8.1328173552399647E-3</v>
      </c>
      <c r="C34" s="83">
        <f t="shared" si="15"/>
        <v>0</v>
      </c>
      <c r="D34" s="83">
        <f t="shared" si="15"/>
        <v>0</v>
      </c>
      <c r="E34" s="83">
        <f t="shared" si="15"/>
        <v>0</v>
      </c>
      <c r="F34" s="83">
        <f t="shared" si="15"/>
        <v>4.9615263266199802E-3</v>
      </c>
      <c r="G34" s="83">
        <f t="shared" si="15"/>
        <v>7.1629299717754693E-3</v>
      </c>
      <c r="H34" s="83">
        <f t="shared" si="15"/>
        <v>3.9166802231163075E-2</v>
      </c>
      <c r="I34" s="83">
        <f t="shared" si="15"/>
        <v>2.7570277741841162E-2</v>
      </c>
      <c r="J34" s="83">
        <f t="shared" si="15"/>
        <v>3.0058195051438568E-2</v>
      </c>
      <c r="K34" s="83">
        <f t="shared" si="15"/>
        <v>0</v>
      </c>
      <c r="L34" s="83">
        <f t="shared" si="15"/>
        <v>8.2588254592593103E-3</v>
      </c>
      <c r="M34" s="83">
        <f t="shared" si="15"/>
        <v>0</v>
      </c>
      <c r="N34" s="83">
        <f t="shared" si="15"/>
        <v>0</v>
      </c>
      <c r="O34" s="83">
        <f t="shared" si="15"/>
        <v>0</v>
      </c>
      <c r="P34" s="83">
        <f t="shared" si="15"/>
        <v>1.5106453941016019E-2</v>
      </c>
      <c r="Q34" s="83">
        <f t="shared" si="15"/>
        <v>0</v>
      </c>
      <c r="R34" s="83">
        <f t="shared" si="16"/>
        <v>0</v>
      </c>
      <c r="S34" s="83">
        <f t="shared" si="16"/>
        <v>5.9338259929240496E-3</v>
      </c>
      <c r="T34" s="83">
        <f t="shared" si="16"/>
        <v>7.0561289337901902E-3</v>
      </c>
      <c r="U34" s="83">
        <f t="shared" si="16"/>
        <v>2.2337656680752452E-2</v>
      </c>
      <c r="V34" s="83">
        <f t="shared" si="16"/>
        <v>0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</row>
    <row r="35" spans="1:39" s="97" customFormat="1">
      <c r="A35" s="89" t="s">
        <v>354</v>
      </c>
      <c r="B35" s="83">
        <f t="shared" ref="B35:Q35" si="17">2*B23</f>
        <v>0</v>
      </c>
      <c r="C35" s="83">
        <f t="shared" si="17"/>
        <v>5.4982657739351534E-3</v>
      </c>
      <c r="D35" s="83">
        <f t="shared" si="17"/>
        <v>0</v>
      </c>
      <c r="E35" s="83">
        <f t="shared" si="17"/>
        <v>0</v>
      </c>
      <c r="F35" s="83">
        <f t="shared" si="17"/>
        <v>1.0632241784222856E-3</v>
      </c>
      <c r="G35" s="83">
        <f t="shared" si="17"/>
        <v>5.4820402266971425E-3</v>
      </c>
      <c r="H35" s="83">
        <f t="shared" si="17"/>
        <v>1.0491502105972319E-3</v>
      </c>
      <c r="I35" s="83">
        <f t="shared" si="17"/>
        <v>0</v>
      </c>
      <c r="J35" s="83">
        <f t="shared" si="17"/>
        <v>0</v>
      </c>
      <c r="K35" s="83">
        <f t="shared" si="17"/>
        <v>2.1594922303248879E-3</v>
      </c>
      <c r="L35" s="83">
        <f t="shared" si="17"/>
        <v>6.6368056437655087E-3</v>
      </c>
      <c r="M35" s="83">
        <f t="shared" si="17"/>
        <v>0</v>
      </c>
      <c r="N35" s="83">
        <f t="shared" si="17"/>
        <v>0</v>
      </c>
      <c r="O35" s="83">
        <f t="shared" si="17"/>
        <v>7.5048701836929084E-3</v>
      </c>
      <c r="P35" s="83">
        <f t="shared" si="17"/>
        <v>0</v>
      </c>
      <c r="Q35" s="83">
        <f t="shared" si="17"/>
        <v>5.4137333985536844E-3</v>
      </c>
      <c r="R35" s="83">
        <f>2*R23</f>
        <v>5.5206809035928906E-3</v>
      </c>
      <c r="S35" s="83">
        <f>2*S23</f>
        <v>0</v>
      </c>
      <c r="T35" s="83">
        <f>2*T23</f>
        <v>0</v>
      </c>
      <c r="U35" s="83">
        <f>2*U23</f>
        <v>1.0406131846287703E-3</v>
      </c>
      <c r="V35" s="83">
        <f>2*V23</f>
        <v>0</v>
      </c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</row>
    <row r="36" spans="1:39" s="97" customFormat="1">
      <c r="A36" s="89" t="s">
        <v>406</v>
      </c>
      <c r="B36" s="83">
        <f t="shared" ref="B36:Q36" si="18">(4-(B32+B33+B34+B35+B38))*(B22/(B22+B24))</f>
        <v>8.4385867355773941E-2</v>
      </c>
      <c r="C36" s="83">
        <f t="shared" si="18"/>
        <v>2.8591871636718693E-2</v>
      </c>
      <c r="D36" s="83">
        <f t="shared" si="18"/>
        <v>2.4959848343987446E-2</v>
      </c>
      <c r="E36" s="83">
        <f t="shared" si="18"/>
        <v>2.199380393169292E-2</v>
      </c>
      <c r="F36" s="83">
        <f t="shared" si="18"/>
        <v>-9.3440107426094841E-3</v>
      </c>
      <c r="G36" s="83">
        <f t="shared" si="18"/>
        <v>1.7680698697323815E-2</v>
      </c>
      <c r="H36" s="83">
        <f t="shared" si="18"/>
        <v>-3.3262293271229579E-2</v>
      </c>
      <c r="I36" s="83">
        <f t="shared" si="18"/>
        <v>-9.1772562428313175E-3</v>
      </c>
      <c r="J36" s="83">
        <f t="shared" si="18"/>
        <v>-1.3885367559958478E-2</v>
      </c>
      <c r="K36" s="83">
        <f t="shared" si="18"/>
        <v>2.2661063968084059E-2</v>
      </c>
      <c r="L36" s="83">
        <f t="shared" si="18"/>
        <v>2.5613815181728776E-2</v>
      </c>
      <c r="M36" s="83">
        <f t="shared" si="18"/>
        <v>-7.038541859008143E-3</v>
      </c>
      <c r="N36" s="83">
        <f t="shared" si="18"/>
        <v>-9.5582692748916401E-3</v>
      </c>
      <c r="O36" s="83">
        <f t="shared" si="18"/>
        <v>2.4669606404130913E-2</v>
      </c>
      <c r="P36" s="83">
        <f t="shared" si="18"/>
        <v>-1.3631735907081458E-2</v>
      </c>
      <c r="Q36" s="83">
        <f t="shared" si="18"/>
        <v>6.642292759403535E-3</v>
      </c>
      <c r="R36" s="83">
        <f>(4-(R32+R33+R34+R35+R38))*(R22/(R22+R24))</f>
        <v>1.1343510758324389E-2</v>
      </c>
      <c r="S36" s="83">
        <f>(4-(S32+S33+S34+S35+S38))*(S22/(S22+S24))</f>
        <v>6.5264036670974737E-3</v>
      </c>
      <c r="T36" s="83">
        <f>(4-(T32+T33+T34+T35+T38))*(T22/(T22+T24))</f>
        <v>-1.1052974720111143E-2</v>
      </c>
      <c r="U36" s="83">
        <f>(4-(U32+U33+U34+U35+U38))*(U22/(U22+U24))</f>
        <v>-5.0877464624840265E-3</v>
      </c>
      <c r="V36" s="83">
        <f>(4-(V32+V33+V34+V35+V38))*(V22/(V22+V24))</f>
        <v>3.8147175283385508E-2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</row>
    <row r="37" spans="1:39" s="97" customFormat="1">
      <c r="A37" s="89" t="s">
        <v>359</v>
      </c>
      <c r="B37" s="83">
        <f t="shared" ref="B37:Q37" si="19">(4-(B32+B33+B34+B35+B38))*(B24/(B24+B22))</f>
        <v>9.9586167768979904E-4</v>
      </c>
      <c r="C37" s="83">
        <f t="shared" si="19"/>
        <v>2.2765137157560261E-2</v>
      </c>
      <c r="D37" s="83">
        <f t="shared" si="19"/>
        <v>1.5885107563735634E-2</v>
      </c>
      <c r="E37" s="83">
        <f t="shared" si="19"/>
        <v>1.1997804395135873E-2</v>
      </c>
      <c r="F37" s="83">
        <f t="shared" si="19"/>
        <v>-9.1183891680244374E-3</v>
      </c>
      <c r="G37" s="83">
        <f t="shared" si="19"/>
        <v>1.9289938675332786E-2</v>
      </c>
      <c r="H37" s="83">
        <f t="shared" si="19"/>
        <v>-4.3906080458881634E-2</v>
      </c>
      <c r="I37" s="83">
        <f t="shared" si="19"/>
        <v>-1.3716103740425936E-2</v>
      </c>
      <c r="J37" s="83">
        <f t="shared" si="19"/>
        <v>-1.5670973482537463E-2</v>
      </c>
      <c r="K37" s="83">
        <f t="shared" si="19"/>
        <v>1.7947502712817899E-2</v>
      </c>
      <c r="L37" s="83">
        <f t="shared" si="19"/>
        <v>2.7626429536449119E-2</v>
      </c>
      <c r="M37" s="83">
        <f t="shared" si="19"/>
        <v>-7.5255838180020096E-3</v>
      </c>
      <c r="N37" s="83">
        <f t="shared" si="19"/>
        <v>-1.0520245824156926E-2</v>
      </c>
      <c r="O37" s="83">
        <f t="shared" si="19"/>
        <v>2.5888198486345541E-2</v>
      </c>
      <c r="P37" s="83">
        <f t="shared" si="19"/>
        <v>-7.5387948346967567E-3</v>
      </c>
      <c r="Q37" s="83">
        <f t="shared" si="19"/>
        <v>1.2116129139952958E-3</v>
      </c>
      <c r="R37" s="83">
        <f>(4-(R32+R33+R34+R35+R38))*(R24/(R24+R22))</f>
        <v>5.0535171626091731E-3</v>
      </c>
      <c r="S37" s="83">
        <f>(4-(S32+S33+S34+S35+S38))*(S24/(S24+S22))</f>
        <v>2.5282635841580043E-3</v>
      </c>
      <c r="T37" s="83">
        <f>(4-(T32+T33+T34+T35+T38))*(T24/(T24+T22))</f>
        <v>-4.9240837899304658E-3</v>
      </c>
      <c r="U37" s="83">
        <f>(4-(U32+U33+U34+U35+U38))*(U24/(U24+U22))</f>
        <v>-3.6614040798224885E-3</v>
      </c>
      <c r="V37" s="83">
        <f>(4-(V32+V33+V34+V35+V38))*(V24/(V24+V22))</f>
        <v>1.9791074729555554E-2</v>
      </c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</row>
    <row r="38" spans="1:39" s="97" customFormat="1">
      <c r="A38" s="89" t="s">
        <v>355</v>
      </c>
      <c r="B38" s="83">
        <f t="shared" ref="B38:Q38" si="20">2*B25</f>
        <v>0</v>
      </c>
      <c r="C38" s="83">
        <f t="shared" si="20"/>
        <v>0</v>
      </c>
      <c r="D38" s="83">
        <f t="shared" si="20"/>
        <v>0</v>
      </c>
      <c r="E38" s="83">
        <f t="shared" si="20"/>
        <v>0</v>
      </c>
      <c r="F38" s="83">
        <f t="shared" si="20"/>
        <v>0</v>
      </c>
      <c r="G38" s="83">
        <f t="shared" si="20"/>
        <v>0</v>
      </c>
      <c r="H38" s="83">
        <f t="shared" si="20"/>
        <v>2.9886246529153113E-3</v>
      </c>
      <c r="I38" s="83">
        <f t="shared" si="20"/>
        <v>0</v>
      </c>
      <c r="J38" s="83">
        <f t="shared" si="20"/>
        <v>7.8919293297001168E-3</v>
      </c>
      <c r="K38" s="83">
        <f t="shared" si="20"/>
        <v>0</v>
      </c>
      <c r="L38" s="83">
        <f t="shared" si="20"/>
        <v>0</v>
      </c>
      <c r="M38" s="83">
        <f t="shared" si="20"/>
        <v>0</v>
      </c>
      <c r="N38" s="83">
        <f t="shared" si="20"/>
        <v>0</v>
      </c>
      <c r="O38" s="83">
        <f t="shared" si="20"/>
        <v>1.0180230048208788E-3</v>
      </c>
      <c r="P38" s="83">
        <f t="shared" si="20"/>
        <v>6.1477262163385235E-3</v>
      </c>
      <c r="Q38" s="83">
        <f t="shared" si="20"/>
        <v>0</v>
      </c>
      <c r="R38" s="83">
        <f>2*R25</f>
        <v>6.2905169851566797E-3</v>
      </c>
      <c r="S38" s="83">
        <f>2*S25</f>
        <v>0</v>
      </c>
      <c r="T38" s="83">
        <f>2*T25</f>
        <v>3.0766756807697896E-3</v>
      </c>
      <c r="U38" s="83">
        <f>2*U25</f>
        <v>1.9762039704876179E-3</v>
      </c>
      <c r="V38" s="83">
        <f>2*V25</f>
        <v>6.1361330505283595E-3</v>
      </c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</row>
    <row r="39" spans="1:39" s="97" customFormat="1">
      <c r="A39" s="89" t="s">
        <v>360</v>
      </c>
      <c r="B39" s="83">
        <f t="shared" ref="B39:Q39" si="21">2*B22-B36</f>
        <v>7.8008865634727559E-2</v>
      </c>
      <c r="C39" s="83">
        <f t="shared" si="21"/>
        <v>2.2437238392896085E-2</v>
      </c>
      <c r="D39" s="83">
        <f t="shared" si="21"/>
        <v>2.0248940445020024E-2</v>
      </c>
      <c r="E39" s="83">
        <f t="shared" si="21"/>
        <v>3.0510898144305996E-2</v>
      </c>
      <c r="F39" s="83">
        <f t="shared" si="21"/>
        <v>5.3433853124316255E-2</v>
      </c>
      <c r="G39" s="83">
        <f t="shared" si="21"/>
        <v>3.5362866369935395E-2</v>
      </c>
      <c r="H39" s="83">
        <f t="shared" si="21"/>
        <v>6.1230579010599473E-2</v>
      </c>
      <c r="I39" s="83">
        <f t="shared" si="21"/>
        <v>4.1468796726914101E-2</v>
      </c>
      <c r="J39" s="83">
        <f t="shared" si="21"/>
        <v>4.4658125400349698E-2</v>
      </c>
      <c r="K39" s="83">
        <f t="shared" si="21"/>
        <v>1.5717486049263971E-2</v>
      </c>
      <c r="L39" s="83">
        <f t="shared" si="21"/>
        <v>1.588692643277264E-2</v>
      </c>
      <c r="M39" s="83">
        <f t="shared" si="21"/>
        <v>4.2945642127261693E-2</v>
      </c>
      <c r="N39" s="83">
        <f t="shared" si="21"/>
        <v>4.4389868103283305E-2</v>
      </c>
      <c r="O39" s="83">
        <f t="shared" si="21"/>
        <v>7.0599494251611689E-2</v>
      </c>
      <c r="P39" s="83">
        <f t="shared" si="21"/>
        <v>7.5425297229544386E-2</v>
      </c>
      <c r="Q39" s="83">
        <f t="shared" si="21"/>
        <v>0.12912494845496417</v>
      </c>
      <c r="R39" s="83">
        <f>2*R22-R36</f>
        <v>6.2786824730777402E-2</v>
      </c>
      <c r="S39" s="83">
        <f>2*S22-S36</f>
        <v>6.5663524068529613E-2</v>
      </c>
      <c r="T39" s="83">
        <f>2*T22-T36</f>
        <v>7.9301363340198841E-2</v>
      </c>
      <c r="U39" s="83">
        <f>2*U22-U36</f>
        <v>0.11194083385325308</v>
      </c>
      <c r="V39" s="83">
        <f>2*V22-V36</f>
        <v>4.5861197521515747E-2</v>
      </c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</row>
    <row r="40" spans="1:39" s="97" customFormat="1">
      <c r="A40" s="89" t="s">
        <v>361</v>
      </c>
      <c r="B40" s="83">
        <f t="shared" ref="B40:Q40" si="22">2*B24-B37</f>
        <v>9.2060486240131485E-4</v>
      </c>
      <c r="C40" s="83">
        <f t="shared" si="22"/>
        <v>1.7864755967748044E-2</v>
      </c>
      <c r="D40" s="83">
        <f t="shared" si="22"/>
        <v>1.2886961194149379E-2</v>
      </c>
      <c r="E40" s="83">
        <f t="shared" si="22"/>
        <v>1.6643950677754385E-2</v>
      </c>
      <c r="F40" s="83">
        <f t="shared" si="22"/>
        <v>5.2143633066768731E-2</v>
      </c>
      <c r="G40" s="83">
        <f t="shared" si="22"/>
        <v>3.8581480027330195E-2</v>
      </c>
      <c r="H40" s="83">
        <f t="shared" si="22"/>
        <v>8.0824094317893364E-2</v>
      </c>
      <c r="I40" s="83">
        <f t="shared" si="22"/>
        <v>6.19782539406908E-2</v>
      </c>
      <c r="J40" s="83">
        <f t="shared" si="22"/>
        <v>5.0400991972790493E-2</v>
      </c>
      <c r="K40" s="83">
        <f t="shared" si="22"/>
        <v>1.244820737036614E-2</v>
      </c>
      <c r="L40" s="83">
        <f t="shared" si="22"/>
        <v>1.7135247152045761E-2</v>
      </c>
      <c r="M40" s="83">
        <f t="shared" si="22"/>
        <v>4.5917327185174883E-2</v>
      </c>
      <c r="N40" s="83">
        <f t="shared" si="22"/>
        <v>4.8857414571398659E-2</v>
      </c>
      <c r="O40" s="83">
        <f t="shared" si="22"/>
        <v>7.4086861795869124E-2</v>
      </c>
      <c r="P40" s="83">
        <f t="shared" si="22"/>
        <v>4.1712650907810678E-2</v>
      </c>
      <c r="Q40" s="83">
        <f t="shared" si="22"/>
        <v>2.3553532000757573E-2</v>
      </c>
      <c r="R40" s="83">
        <f>2*R24-R37</f>
        <v>2.7971436984786439E-2</v>
      </c>
      <c r="S40" s="83">
        <f>2*S24-S37</f>
        <v>2.543739326865431E-2</v>
      </c>
      <c r="T40" s="83">
        <f>2*T24-T37</f>
        <v>3.5328639360077421E-2</v>
      </c>
      <c r="U40" s="83">
        <f>2*U24-U37</f>
        <v>8.0558382535619311E-2</v>
      </c>
      <c r="V40" s="83">
        <f>2*V24-V37</f>
        <v>2.3793174215196417E-2</v>
      </c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</row>
    <row r="41" spans="1:39" s="97" customFormat="1">
      <c r="A41" s="89" t="s">
        <v>362</v>
      </c>
      <c r="B41" s="83">
        <f t="shared" ref="B41:Q41" si="23">2*B26</f>
        <v>2.7557749963079072E-3</v>
      </c>
      <c r="C41" s="83">
        <f t="shared" si="23"/>
        <v>6.8160847810788266E-2</v>
      </c>
      <c r="D41" s="83">
        <f t="shared" si="23"/>
        <v>6.619628030344786E-2</v>
      </c>
      <c r="E41" s="83">
        <f t="shared" si="23"/>
        <v>5.35408785271261E-2</v>
      </c>
      <c r="F41" s="83">
        <f t="shared" si="23"/>
        <v>5.9178056732528274E-2</v>
      </c>
      <c r="G41" s="83">
        <f t="shared" si="23"/>
        <v>5.2703443223651995E-2</v>
      </c>
      <c r="H41" s="83">
        <f t="shared" si="23"/>
        <v>5.8394712934197145E-2</v>
      </c>
      <c r="I41" s="83">
        <f t="shared" si="23"/>
        <v>4.4041264245078739E-2</v>
      </c>
      <c r="J41" s="83">
        <f t="shared" si="23"/>
        <v>4.7311468990701329E-2</v>
      </c>
      <c r="K41" s="83">
        <f t="shared" si="23"/>
        <v>6.146350790715175E-2</v>
      </c>
      <c r="L41" s="83">
        <f t="shared" si="23"/>
        <v>5.1771738937359819E-2</v>
      </c>
      <c r="M41" s="83">
        <f t="shared" si="23"/>
        <v>5.3890835197286886E-2</v>
      </c>
      <c r="N41" s="83">
        <f t="shared" si="23"/>
        <v>5.3814228312818638E-2</v>
      </c>
      <c r="O41" s="83">
        <f t="shared" si="23"/>
        <v>5.4248572532216724E-2</v>
      </c>
      <c r="P41" s="83">
        <f t="shared" si="23"/>
        <v>4.3680135579900248E-2</v>
      </c>
      <c r="Q41" s="83">
        <f t="shared" si="23"/>
        <v>6.5743266298441946E-2</v>
      </c>
      <c r="R41" s="83">
        <f>2*R26</f>
        <v>6.0058471618893806E-2</v>
      </c>
      <c r="S41" s="83">
        <f>2*S26</f>
        <v>4.9596154920707951E-2</v>
      </c>
      <c r="T41" s="83">
        <f>2*T26</f>
        <v>4.5086355941751442E-2</v>
      </c>
      <c r="U41" s="83">
        <f>2*U26</f>
        <v>0.24879079477567362</v>
      </c>
      <c r="V41" s="83">
        <f>2*V26</f>
        <v>2.4523742878297453E-2</v>
      </c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</row>
    <row r="42" spans="1:39" s="97" customFormat="1">
      <c r="A42" s="89" t="s">
        <v>363</v>
      </c>
      <c r="B42" s="83">
        <f t="shared" ref="B42:Q42" si="24">2-(2*B24+2*B22-(4-(B32+B33+B34+B35+B38)))</f>
        <v>1.9210705295028712</v>
      </c>
      <c r="C42" s="83">
        <f t="shared" si="24"/>
        <v>1.9596980056393558</v>
      </c>
      <c r="D42" s="83">
        <f t="shared" si="24"/>
        <v>1.9668640983608305</v>
      </c>
      <c r="E42" s="83">
        <f t="shared" si="24"/>
        <v>1.9528451511779397</v>
      </c>
      <c r="F42" s="83">
        <f t="shared" si="24"/>
        <v>1.894422513808915</v>
      </c>
      <c r="G42" s="83">
        <f t="shared" si="24"/>
        <v>1.9260556536027345</v>
      </c>
      <c r="H42" s="83">
        <f t="shared" si="24"/>
        <v>1.8579453266715071</v>
      </c>
      <c r="I42" s="83">
        <f t="shared" si="24"/>
        <v>1.8965529493323952</v>
      </c>
      <c r="J42" s="83">
        <f t="shared" si="24"/>
        <v>1.9049408826268599</v>
      </c>
      <c r="K42" s="83">
        <f t="shared" si="24"/>
        <v>1.9718343065803698</v>
      </c>
      <c r="L42" s="83">
        <f t="shared" si="24"/>
        <v>1.9669778264151816</v>
      </c>
      <c r="M42" s="83">
        <f t="shared" si="24"/>
        <v>1.9111370306875635</v>
      </c>
      <c r="N42" s="83">
        <f t="shared" si="24"/>
        <v>1.906752717325318</v>
      </c>
      <c r="O42" s="83">
        <f t="shared" si="24"/>
        <v>1.8553136439525191</v>
      </c>
      <c r="P42" s="83">
        <f t="shared" si="24"/>
        <v>1.8828620518626449</v>
      </c>
      <c r="Q42" s="83">
        <f t="shared" si="24"/>
        <v>1.8473215195442783</v>
      </c>
      <c r="R42" s="83">
        <f>2-(2*R24+2*R22-(4-(R32+R33+R34+R35+R38)))</f>
        <v>1.9092417382844362</v>
      </c>
      <c r="S42" s="83">
        <f>2-(2*S24+2*S22-(4-(S32+S33+S34+S35+S38)))</f>
        <v>1.908899082662816</v>
      </c>
      <c r="T42" s="83">
        <f>2-(2*T24+2*T22-(4-(T32+T33+T34+T35+T38)))</f>
        <v>1.8853699972997238</v>
      </c>
      <c r="U42" s="83">
        <f>2-(2*U24+2*U22-(4-(U32+U33+U34+U35+U38)))</f>
        <v>1.8075007836111276</v>
      </c>
      <c r="V42" s="83">
        <f>2-(2*V24+2*V22-(4-(V32+V33+V34+V35+V38)))</f>
        <v>1.9303456282632878</v>
      </c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</row>
    <row r="43" spans="1:39" s="97" customFormat="1">
      <c r="A43" s="89" t="s">
        <v>364</v>
      </c>
      <c r="B43" s="83">
        <f t="shared" ref="B43:Q44" si="25">2*B27</f>
        <v>1.9223858126934026</v>
      </c>
      <c r="C43" s="83">
        <f t="shared" si="25"/>
        <v>1.7443938755383894</v>
      </c>
      <c r="D43" s="83">
        <f t="shared" si="25"/>
        <v>1.8242406995674061</v>
      </c>
      <c r="E43" s="83">
        <f t="shared" si="25"/>
        <v>1.8408207830732601</v>
      </c>
      <c r="F43" s="83">
        <f t="shared" si="25"/>
        <v>1.6087253217585773</v>
      </c>
      <c r="G43" s="83">
        <f t="shared" si="25"/>
        <v>1.801989483292574</v>
      </c>
      <c r="H43" s="83">
        <f t="shared" si="25"/>
        <v>1.4289276236378867</v>
      </c>
      <c r="I43" s="83">
        <f t="shared" si="25"/>
        <v>1.3765535413042584</v>
      </c>
      <c r="J43" s="83">
        <f t="shared" si="25"/>
        <v>1.5006026402020594</v>
      </c>
      <c r="K43" s="83">
        <f t="shared" si="25"/>
        <v>1.6707979749251614</v>
      </c>
      <c r="L43" s="83">
        <f t="shared" si="25"/>
        <v>1.6989709909297033</v>
      </c>
      <c r="M43" s="83">
        <f t="shared" si="25"/>
        <v>1.5531616328620137</v>
      </c>
      <c r="N43" s="83">
        <f t="shared" si="25"/>
        <v>1.4749499222584384</v>
      </c>
      <c r="O43" s="83">
        <f t="shared" si="25"/>
        <v>1.5559297915383954</v>
      </c>
      <c r="P43" s="83">
        <f t="shared" si="25"/>
        <v>1.4573317474824099</v>
      </c>
      <c r="Q43" s="83">
        <f t="shared" si="25"/>
        <v>1.6729625821886605</v>
      </c>
      <c r="R43" s="83">
        <f t="shared" ref="R43:V44" si="26">2*R27</f>
        <v>1.7944715778363043</v>
      </c>
      <c r="S43" s="83">
        <f t="shared" si="26"/>
        <v>1.5863406277859742</v>
      </c>
      <c r="T43" s="83">
        <f t="shared" si="26"/>
        <v>1.6070040342002747</v>
      </c>
      <c r="U43" s="83">
        <f t="shared" si="26"/>
        <v>1.4077722466742244</v>
      </c>
      <c r="V43" s="83">
        <f t="shared" si="26"/>
        <v>1.787412004821862</v>
      </c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</row>
    <row r="44" spans="1:39" s="97" customFormat="1">
      <c r="A44" s="89" t="s">
        <v>365</v>
      </c>
      <c r="B44" s="83">
        <f t="shared" si="25"/>
        <v>3.4452453265943699E-2</v>
      </c>
      <c r="C44" s="83">
        <f t="shared" si="25"/>
        <v>8.6125021860526146E-2</v>
      </c>
      <c r="D44" s="83">
        <f t="shared" si="25"/>
        <v>2.9556428339310156E-2</v>
      </c>
      <c r="E44" s="83">
        <f t="shared" si="25"/>
        <v>3.596090929916005E-2</v>
      </c>
      <c r="F44" s="83">
        <f t="shared" si="25"/>
        <v>5.7649775707472817E-2</v>
      </c>
      <c r="G44" s="83">
        <f t="shared" si="25"/>
        <v>6.4403148253052711E-2</v>
      </c>
      <c r="H44" s="83">
        <f t="shared" si="25"/>
        <v>8.058943764178661E-2</v>
      </c>
      <c r="I44" s="83">
        <f t="shared" si="25"/>
        <v>0.23517689418508289</v>
      </c>
      <c r="J44" s="83">
        <f t="shared" si="25"/>
        <v>0.1674305899780861</v>
      </c>
      <c r="K44" s="83">
        <f t="shared" si="25"/>
        <v>0.18051566930930446</v>
      </c>
      <c r="L44" s="83">
        <f t="shared" si="25"/>
        <v>0.18659334446318906</v>
      </c>
      <c r="M44" s="83">
        <f t="shared" si="25"/>
        <v>0.12520109938848734</v>
      </c>
      <c r="N44" s="83">
        <f t="shared" si="25"/>
        <v>0.19691141960366712</v>
      </c>
      <c r="O44" s="83">
        <f t="shared" si="25"/>
        <v>8.2354170556232689E-2</v>
      </c>
      <c r="P44" s="83">
        <f t="shared" si="25"/>
        <v>0.24053751094179887</v>
      </c>
      <c r="Q44" s="83">
        <f t="shared" si="25"/>
        <v>2.4461799190662312E-2</v>
      </c>
      <c r="R44" s="83">
        <f t="shared" si="26"/>
        <v>5.6542087100763944E-2</v>
      </c>
      <c r="S44" s="83">
        <f t="shared" si="26"/>
        <v>7.1820081802891247E-2</v>
      </c>
      <c r="T44" s="83">
        <f t="shared" si="26"/>
        <v>4.0668513819941784E-2</v>
      </c>
      <c r="U44" s="83">
        <f t="shared" si="26"/>
        <v>2.5077231190680241E-2</v>
      </c>
      <c r="V44" s="83">
        <f t="shared" si="26"/>
        <v>6.0020978441557071E-2</v>
      </c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</row>
    <row r="45" spans="1:39">
      <c r="A45" s="89" t="s">
        <v>407</v>
      </c>
      <c r="B45" s="83">
        <f t="shared" ref="B45:Q45" si="27">B30+B31+B32+B33+B34+B35+B36+B37+B38+B39+B40+B41+B43+B44</f>
        <v>14.038523511452782</v>
      </c>
      <c r="C45" s="83">
        <f t="shared" si="27"/>
        <v>13.938981739570348</v>
      </c>
      <c r="D45" s="83">
        <f t="shared" si="27"/>
        <v>13.953129309849336</v>
      </c>
      <c r="E45" s="83">
        <f t="shared" si="27"/>
        <v>13.977477419721605</v>
      </c>
      <c r="F45" s="83">
        <f t="shared" si="27"/>
        <v>13.831130640389663</v>
      </c>
      <c r="G45" s="83">
        <f t="shared" si="27"/>
        <v>13.993040421166548</v>
      </c>
      <c r="H45" s="83">
        <f t="shared" si="27"/>
        <v>13.709966447542364</v>
      </c>
      <c r="I45" s="83">
        <f t="shared" si="27"/>
        <v>13.759218750402022</v>
      </c>
      <c r="J45" s="83">
        <f t="shared" si="27"/>
        <v>13.810403816543985</v>
      </c>
      <c r="K45" s="83">
        <f t="shared" si="27"/>
        <v>13.940942845561246</v>
      </c>
      <c r="L45" s="83">
        <f t="shared" si="27"/>
        <v>13.970358247915071</v>
      </c>
      <c r="M45" s="83">
        <f t="shared" si="27"/>
        <v>13.821116536760222</v>
      </c>
      <c r="N45" s="83">
        <f t="shared" si="27"/>
        <v>13.818922852849607</v>
      </c>
      <c r="O45" s="83">
        <f t="shared" si="27"/>
        <v>13.837218890674327</v>
      </c>
      <c r="P45" s="83">
        <f t="shared" si="27"/>
        <v>13.858687342141465</v>
      </c>
      <c r="Q45" s="83">
        <f t="shared" si="27"/>
        <v>13.915846128133484</v>
      </c>
      <c r="R45" s="83">
        <f>R30+R31+R32+R33+R34+R35+R36+R37+R38+R39+R40+R41+R43+R44</f>
        <v>14.001830398271528</v>
      </c>
      <c r="S45" s="83">
        <f>S30+S31+S32+S33+S34+S35+S36+S37+S38+S39+S40+S41+S43+S44</f>
        <v>13.79885778184676</v>
      </c>
      <c r="T45" s="83">
        <f>T30+T31+T32+T33+T34+T35+T36+T37+T38+T39+T40+T41+T43+T44</f>
        <v>13.807388906662242</v>
      </c>
      <c r="U45" s="83">
        <f>U30+U31+U32+U33+U34+U35+U36+U37+U38+U39+U40+U41+U43+U44</f>
        <v>13.874139489029449</v>
      </c>
      <c r="V45" s="83">
        <f>V30+V31+V32+V33+V34+V35+V36+V37+V38+V39+V40+V41+V43+V44</f>
        <v>13.941611097878427</v>
      </c>
      <c r="AD45" s="82"/>
      <c r="AE45" s="82"/>
      <c r="AF45" s="82"/>
      <c r="AG45" s="82"/>
      <c r="AH45" s="82"/>
      <c r="AI45" s="82"/>
      <c r="AJ45" s="82"/>
      <c r="AK45" s="82"/>
      <c r="AL45" s="82"/>
      <c r="AM45" s="82"/>
    </row>
    <row r="46" spans="1:39">
      <c r="A46" s="89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>
      <c r="A47" s="89" t="s">
        <v>366</v>
      </c>
      <c r="B47" s="83">
        <f t="shared" ref="B47:Q47" si="28">B30/8</f>
        <v>0.7440750709764038</v>
      </c>
      <c r="C47" s="83">
        <f t="shared" si="28"/>
        <v>0.75117633660330363</v>
      </c>
      <c r="D47" s="83">
        <f t="shared" si="28"/>
        <v>0.74745898763369856</v>
      </c>
      <c r="E47" s="83">
        <f t="shared" si="28"/>
        <v>0.74327284836983376</v>
      </c>
      <c r="F47" s="83">
        <f t="shared" si="28"/>
        <v>0.74715933757836739</v>
      </c>
      <c r="G47" s="83">
        <f t="shared" si="28"/>
        <v>0.73973714794209722</v>
      </c>
      <c r="H47" s="83">
        <f t="shared" si="28"/>
        <v>0.75135807217443074</v>
      </c>
      <c r="I47" s="83">
        <f t="shared" si="28"/>
        <v>0.75727778640590704</v>
      </c>
      <c r="J47" s="83">
        <f t="shared" si="28"/>
        <v>0.75123502170891809</v>
      </c>
      <c r="K47" s="83">
        <f t="shared" si="28"/>
        <v>0.74984684090882325</v>
      </c>
      <c r="L47" s="83">
        <f t="shared" si="28"/>
        <v>0.7482581423067608</v>
      </c>
      <c r="M47" s="83">
        <f t="shared" si="28"/>
        <v>0.7516578172176992</v>
      </c>
      <c r="N47" s="83">
        <f t="shared" si="28"/>
        <v>0.75012996382521124</v>
      </c>
      <c r="O47" s="83">
        <f t="shared" si="28"/>
        <v>0.75072409361966719</v>
      </c>
      <c r="P47" s="83">
        <f t="shared" si="28"/>
        <v>0.74316904912801374</v>
      </c>
      <c r="Q47" s="83">
        <f t="shared" si="28"/>
        <v>0.73451447279403892</v>
      </c>
      <c r="R47" s="83">
        <f>R30/8</f>
        <v>0.73321973908052851</v>
      </c>
      <c r="S47" s="83">
        <f>S30/8</f>
        <v>0.75715864073427508</v>
      </c>
      <c r="T47" s="83">
        <f>T30/8</f>
        <v>0.75118074848830618</v>
      </c>
      <c r="U47" s="83">
        <f>U30/8</f>
        <v>0.70731399454298594</v>
      </c>
      <c r="V47" s="83">
        <f>V30/8</f>
        <v>0.75114499915706501</v>
      </c>
      <c r="AD47" s="82"/>
      <c r="AE47" s="82"/>
      <c r="AF47" s="82"/>
      <c r="AG47" s="82"/>
      <c r="AH47" s="82"/>
      <c r="AI47" s="82"/>
      <c r="AJ47" s="82"/>
      <c r="AK47" s="82"/>
      <c r="AL47" s="82"/>
      <c r="AM47" s="82"/>
    </row>
    <row r="48" spans="1:39">
      <c r="A48" s="89" t="s">
        <v>367</v>
      </c>
      <c r="B48" s="83">
        <f t="shared" ref="B48:Q48" si="29">B32/4</f>
        <v>0.97347826233381851</v>
      </c>
      <c r="C48" s="83">
        <f t="shared" si="29"/>
        <v>0.98578618135794649</v>
      </c>
      <c r="D48" s="83">
        <f t="shared" si="29"/>
        <v>0.98761087026152117</v>
      </c>
      <c r="E48" s="83">
        <f t="shared" si="29"/>
        <v>0.98909317934395213</v>
      </c>
      <c r="F48" s="83">
        <f t="shared" si="29"/>
        <v>1.0007494272695057</v>
      </c>
      <c r="G48" s="83">
        <f t="shared" si="29"/>
        <v>0.98637927728843833</v>
      </c>
      <c r="H48" s="83">
        <f t="shared" si="29"/>
        <v>1.0070937016756343</v>
      </c>
      <c r="I48" s="83">
        <f t="shared" si="29"/>
        <v>0.99578644969665775</v>
      </c>
      <c r="J48" s="83">
        <f t="shared" si="29"/>
        <v>0.99398130123833206</v>
      </c>
      <c r="K48" s="83">
        <f t="shared" si="29"/>
        <v>0.98595266408403703</v>
      </c>
      <c r="L48" s="83">
        <f t="shared" si="29"/>
        <v>0.97830109317704927</v>
      </c>
      <c r="M48" s="83">
        <f t="shared" si="29"/>
        <v>1.0015652825913903</v>
      </c>
      <c r="N48" s="83">
        <f t="shared" si="29"/>
        <v>1.0017952761592244</v>
      </c>
      <c r="O48" s="83">
        <f t="shared" si="29"/>
        <v>0.98094629301334679</v>
      </c>
      <c r="P48" s="83">
        <f t="shared" si="29"/>
        <v>0.99494924349817326</v>
      </c>
      <c r="Q48" s="83">
        <f t="shared" si="29"/>
        <v>0.99596209477401421</v>
      </c>
      <c r="R48" s="83">
        <f>R32/4</f>
        <v>0.99049714815771139</v>
      </c>
      <c r="S48" s="83">
        <f>S32/4</f>
        <v>0.99319520487085544</v>
      </c>
      <c r="T48" s="83">
        <f>T32/4</f>
        <v>0.99882397248386878</v>
      </c>
      <c r="U48" s="83">
        <f>U32/4</f>
        <v>0.99076711665787842</v>
      </c>
      <c r="V48" s="83">
        <f>V32/4</f>
        <v>0.97920010990575368</v>
      </c>
      <c r="AD48" s="82"/>
      <c r="AE48" s="82"/>
      <c r="AF48" s="82"/>
      <c r="AG48" s="82"/>
      <c r="AH48" s="82"/>
      <c r="AI48" s="82"/>
      <c r="AJ48" s="82"/>
      <c r="AK48" s="82"/>
      <c r="AL48" s="82"/>
      <c r="AM48" s="82"/>
    </row>
    <row r="49" spans="1:39">
      <c r="A49" s="89" t="s">
        <v>368</v>
      </c>
      <c r="B49" s="83">
        <f t="shared" ref="B49:Q49" si="30">B37/4</f>
        <v>2.4896541942244976E-4</v>
      </c>
      <c r="C49" s="83">
        <f t="shared" si="30"/>
        <v>5.6912842893900653E-3</v>
      </c>
      <c r="D49" s="83">
        <f t="shared" si="30"/>
        <v>3.9712768909339084E-3</v>
      </c>
      <c r="E49" s="83">
        <f t="shared" si="30"/>
        <v>2.9994510987839682E-3</v>
      </c>
      <c r="F49" s="83">
        <f t="shared" si="30"/>
        <v>-2.2795972920061094E-3</v>
      </c>
      <c r="G49" s="83">
        <f t="shared" si="30"/>
        <v>4.8224846688331964E-3</v>
      </c>
      <c r="H49" s="83">
        <f t="shared" si="30"/>
        <v>-1.0976520114720409E-2</v>
      </c>
      <c r="I49" s="83">
        <f t="shared" si="30"/>
        <v>-3.429025935106484E-3</v>
      </c>
      <c r="J49" s="83">
        <f t="shared" si="30"/>
        <v>-3.9177433706343657E-3</v>
      </c>
      <c r="K49" s="83">
        <f t="shared" si="30"/>
        <v>4.4868756782044748E-3</v>
      </c>
      <c r="L49" s="83">
        <f t="shared" si="30"/>
        <v>6.9066073841122797E-3</v>
      </c>
      <c r="M49" s="83">
        <f t="shared" si="30"/>
        <v>-1.8813959545005024E-3</v>
      </c>
      <c r="N49" s="83">
        <f t="shared" si="30"/>
        <v>-2.6300614560392315E-3</v>
      </c>
      <c r="O49" s="83">
        <f t="shared" si="30"/>
        <v>6.4720496215863853E-3</v>
      </c>
      <c r="P49" s="83">
        <f t="shared" si="30"/>
        <v>-1.8846987086741892E-3</v>
      </c>
      <c r="Q49" s="83">
        <f t="shared" si="30"/>
        <v>3.0290322849882396E-4</v>
      </c>
      <c r="R49" s="83">
        <f>R37/4</f>
        <v>1.2633792906522933E-3</v>
      </c>
      <c r="S49" s="83">
        <f>S37/4</f>
        <v>6.3206589603950107E-4</v>
      </c>
      <c r="T49" s="83">
        <f>T37/4</f>
        <v>-1.2310209474826164E-3</v>
      </c>
      <c r="U49" s="83">
        <f>U37/4</f>
        <v>-9.1535101995562213E-4</v>
      </c>
      <c r="V49" s="83">
        <f>V37/4</f>
        <v>4.9477686823888884E-3</v>
      </c>
      <c r="AD49" s="82"/>
      <c r="AE49" s="82"/>
      <c r="AF49" s="82"/>
      <c r="AG49" s="82"/>
      <c r="AH49" s="82"/>
      <c r="AI49" s="82"/>
      <c r="AJ49" s="82"/>
      <c r="AK49" s="82"/>
      <c r="AL49" s="82"/>
      <c r="AM49" s="82"/>
    </row>
    <row r="50" spans="1:39">
      <c r="A50" s="89" t="s">
        <v>369</v>
      </c>
      <c r="B50" s="83">
        <f t="shared" ref="B50:Q50" si="31">(B36)/4</f>
        <v>2.1096466838943485E-2</v>
      </c>
      <c r="C50" s="83">
        <f t="shared" si="31"/>
        <v>7.1479679091796733E-3</v>
      </c>
      <c r="D50" s="83">
        <f t="shared" si="31"/>
        <v>6.2399620859968615E-3</v>
      </c>
      <c r="E50" s="83">
        <f t="shared" si="31"/>
        <v>5.49845098292323E-3</v>
      </c>
      <c r="F50" s="83">
        <f t="shared" si="31"/>
        <v>-2.336002685652371E-3</v>
      </c>
      <c r="G50" s="83">
        <f t="shared" si="31"/>
        <v>4.4201746743309537E-3</v>
      </c>
      <c r="H50" s="83">
        <f t="shared" si="31"/>
        <v>-8.3155733178073947E-3</v>
      </c>
      <c r="I50" s="83">
        <f t="shared" si="31"/>
        <v>-2.2943140607078294E-3</v>
      </c>
      <c r="J50" s="83">
        <f t="shared" si="31"/>
        <v>-3.4713418899896195E-3</v>
      </c>
      <c r="K50" s="83">
        <f t="shared" si="31"/>
        <v>5.6652659920210149E-3</v>
      </c>
      <c r="L50" s="83">
        <f t="shared" si="31"/>
        <v>6.403453795432194E-3</v>
      </c>
      <c r="M50" s="83">
        <f t="shared" si="31"/>
        <v>-1.7596354647520357E-3</v>
      </c>
      <c r="N50" s="83">
        <f t="shared" si="31"/>
        <v>-2.38956731872291E-3</v>
      </c>
      <c r="O50" s="83">
        <f t="shared" si="31"/>
        <v>6.1674016010327282E-3</v>
      </c>
      <c r="P50" s="83">
        <f t="shared" si="31"/>
        <v>-3.4079339767703644E-3</v>
      </c>
      <c r="Q50" s="83">
        <f t="shared" si="31"/>
        <v>1.6605731898508838E-3</v>
      </c>
      <c r="R50" s="83">
        <f>(R36)/4</f>
        <v>2.8358776895810972E-3</v>
      </c>
      <c r="S50" s="83">
        <f>(S36)/4</f>
        <v>1.6316009167743684E-3</v>
      </c>
      <c r="T50" s="83">
        <f>(T36)/4</f>
        <v>-2.7632436800277857E-3</v>
      </c>
      <c r="U50" s="83">
        <f>(U36)/4</f>
        <v>-1.2719366156210066E-3</v>
      </c>
      <c r="V50" s="83">
        <f>(V36)/4</f>
        <v>9.536793820846377E-3</v>
      </c>
      <c r="AD50" s="82"/>
      <c r="AE50" s="82"/>
      <c r="AF50" s="82"/>
      <c r="AG50" s="82"/>
      <c r="AH50" s="82"/>
      <c r="AI50" s="82"/>
      <c r="AJ50" s="82"/>
      <c r="AK50" s="82"/>
      <c r="AL50" s="82"/>
      <c r="AM50" s="82"/>
    </row>
    <row r="51" spans="1:39">
      <c r="A51" s="89" t="s">
        <v>408</v>
      </c>
      <c r="B51" s="83">
        <f t="shared" ref="B51:Q51" si="32">B42/2</f>
        <v>0.96053526475143558</v>
      </c>
      <c r="C51" s="83">
        <f t="shared" si="32"/>
        <v>0.97984900281967791</v>
      </c>
      <c r="D51" s="83">
        <f t="shared" si="32"/>
        <v>0.98343204918041527</v>
      </c>
      <c r="E51" s="83">
        <f t="shared" si="32"/>
        <v>0.97642257558896983</v>
      </c>
      <c r="F51" s="83">
        <f t="shared" si="32"/>
        <v>0.94721125690445751</v>
      </c>
      <c r="G51" s="83">
        <f t="shared" si="32"/>
        <v>0.96302782680136723</v>
      </c>
      <c r="H51" s="83">
        <f t="shared" si="32"/>
        <v>0.92897266333575357</v>
      </c>
      <c r="I51" s="83">
        <f t="shared" si="32"/>
        <v>0.94827647466619758</v>
      </c>
      <c r="J51" s="83">
        <f t="shared" si="32"/>
        <v>0.95247044131342995</v>
      </c>
      <c r="K51" s="83">
        <f t="shared" si="32"/>
        <v>0.98591715329018492</v>
      </c>
      <c r="L51" s="83">
        <f t="shared" si="32"/>
        <v>0.9834889132075908</v>
      </c>
      <c r="M51" s="83">
        <f t="shared" si="32"/>
        <v>0.95556851534378173</v>
      </c>
      <c r="N51" s="83">
        <f t="shared" si="32"/>
        <v>0.95337635866265902</v>
      </c>
      <c r="O51" s="83">
        <f t="shared" si="32"/>
        <v>0.92765682197625954</v>
      </c>
      <c r="P51" s="83">
        <f t="shared" si="32"/>
        <v>0.94143102593132244</v>
      </c>
      <c r="Q51" s="83">
        <f t="shared" si="32"/>
        <v>0.92366075977213913</v>
      </c>
      <c r="R51" s="83">
        <f>R42/2</f>
        <v>0.95462086914221811</v>
      </c>
      <c r="S51" s="83">
        <f>S42/2</f>
        <v>0.95444954133140802</v>
      </c>
      <c r="T51" s="83">
        <f>T42/2</f>
        <v>0.94268499864986188</v>
      </c>
      <c r="U51" s="83">
        <f>U42/2</f>
        <v>0.90375039180556382</v>
      </c>
      <c r="V51" s="83">
        <f>V42/2</f>
        <v>0.96517281413164391</v>
      </c>
    </row>
    <row r="52" spans="1:39">
      <c r="A52" s="89" t="s">
        <v>371</v>
      </c>
      <c r="B52" s="83">
        <f t="shared" ref="B52:Q52" si="33">B44/2</f>
        <v>1.7226226632971849E-2</v>
      </c>
      <c r="C52" s="83">
        <f t="shared" si="33"/>
        <v>4.3062510930263073E-2</v>
      </c>
      <c r="D52" s="83">
        <f t="shared" si="33"/>
        <v>1.4778214169655078E-2</v>
      </c>
      <c r="E52" s="83">
        <f t="shared" si="33"/>
        <v>1.7980454649580025E-2</v>
      </c>
      <c r="F52" s="83">
        <f t="shared" si="33"/>
        <v>2.8824887853736408E-2</v>
      </c>
      <c r="G52" s="83">
        <f t="shared" si="33"/>
        <v>3.2201574126526356E-2</v>
      </c>
      <c r="H52" s="83">
        <f t="shared" si="33"/>
        <v>4.0294718820893305E-2</v>
      </c>
      <c r="I52" s="83">
        <f t="shared" si="33"/>
        <v>0.11758844709254145</v>
      </c>
      <c r="J52" s="83">
        <f t="shared" si="33"/>
        <v>8.3715294989043051E-2</v>
      </c>
      <c r="K52" s="83">
        <f t="shared" si="33"/>
        <v>9.025783465465223E-2</v>
      </c>
      <c r="L52" s="83">
        <f t="shared" si="33"/>
        <v>9.3296672231594532E-2</v>
      </c>
      <c r="M52" s="83">
        <f t="shared" si="33"/>
        <v>6.2600549694243668E-2</v>
      </c>
      <c r="N52" s="83">
        <f t="shared" si="33"/>
        <v>9.845570980183356E-2</v>
      </c>
      <c r="O52" s="83">
        <f t="shared" si="33"/>
        <v>4.1177085278116345E-2</v>
      </c>
      <c r="P52" s="83">
        <f t="shared" si="33"/>
        <v>0.12026875547089944</v>
      </c>
      <c r="Q52" s="83">
        <f t="shared" si="33"/>
        <v>1.2230899595331156E-2</v>
      </c>
      <c r="R52" s="83">
        <f>R44/2</f>
        <v>2.8271043550381972E-2</v>
      </c>
      <c r="S52" s="83">
        <f>S44/2</f>
        <v>3.5910040901445624E-2</v>
      </c>
      <c r="T52" s="83">
        <f>T44/2</f>
        <v>2.0334256909970892E-2</v>
      </c>
      <c r="U52" s="83">
        <f>U44/2</f>
        <v>1.253861559534012E-2</v>
      </c>
      <c r="V52" s="83">
        <f>V44/2</f>
        <v>3.0010489220778536E-2</v>
      </c>
    </row>
    <row r="53" spans="1:39">
      <c r="A53" s="89" t="s">
        <v>372</v>
      </c>
      <c r="B53" s="83">
        <f t="shared" ref="B53:Q53" si="34">4*(B52)*(B51)*(B48)*(B49)*(B47)^4</f>
        <v>4.9169497170964636E-6</v>
      </c>
      <c r="C53" s="83">
        <f t="shared" si="34"/>
        <v>3.0149429270988809E-4</v>
      </c>
      <c r="D53" s="83">
        <f t="shared" si="34"/>
        <v>7.1169154809689328E-5</v>
      </c>
      <c r="E53" s="83">
        <f t="shared" si="34"/>
        <v>6.3587322574859401E-5</v>
      </c>
      <c r="F53" s="83">
        <f t="shared" si="34"/>
        <v>-7.7644529835018325E-5</v>
      </c>
      <c r="G53" s="83">
        <f t="shared" si="34"/>
        <v>1.7668530851249045E-4</v>
      </c>
      <c r="H53" s="83">
        <f t="shared" si="34"/>
        <v>-5.2751333067904867E-4</v>
      </c>
      <c r="I53" s="83">
        <f t="shared" si="34"/>
        <v>-5.0086129896561216E-4</v>
      </c>
      <c r="J53" s="83">
        <f t="shared" si="34"/>
        <v>-3.9557953270866181E-4</v>
      </c>
      <c r="K53" s="83">
        <f t="shared" si="34"/>
        <v>4.9782383946555501E-4</v>
      </c>
      <c r="L53" s="83">
        <f t="shared" si="34"/>
        <v>7.7738959976760447E-4</v>
      </c>
      <c r="M53" s="83">
        <f t="shared" si="34"/>
        <v>-1.4392629700732816E-4</v>
      </c>
      <c r="N53" s="83">
        <f t="shared" si="34"/>
        <v>-3.1322484850162245E-4</v>
      </c>
      <c r="O53" s="83">
        <f t="shared" si="34"/>
        <v>3.0811399256767177E-4</v>
      </c>
      <c r="P53" s="83">
        <f t="shared" si="34"/>
        <v>-2.5905658206183034E-4</v>
      </c>
      <c r="Q53" s="83">
        <f t="shared" si="34"/>
        <v>3.9680672907000701E-6</v>
      </c>
      <c r="R53" s="83">
        <f>4*(R52)*(R51)*(R48)*(R49)*(R47)^4</f>
        <v>3.9044182213679659E-5</v>
      </c>
      <c r="S53" s="83">
        <f>4*(S52)*(S51)*(S48)*(S49)*(S47)^4</f>
        <v>2.8286119282686413E-5</v>
      </c>
      <c r="T53" s="83">
        <f>4*(T52)*(T51)*(T48)*(T49)*(T47)^4</f>
        <v>-3.0018368909052953E-5</v>
      </c>
      <c r="U53" s="83">
        <f>4*(U52)*(U51)*(U48)*(U49)*(U47)^4</f>
        <v>-1.0288838146895016E-5</v>
      </c>
      <c r="V53" s="83">
        <f>4*(V52)*(V51)*(V48)*(V49)*(V47)^4</f>
        <v>1.7869570284317058E-4</v>
      </c>
    </row>
    <row r="54" spans="1:39">
      <c r="A54" s="89" t="s">
        <v>373</v>
      </c>
      <c r="B54" s="83">
        <f t="shared" ref="B54:Q54" si="35">4*(B52)*(B51)*(B48)*(B50)*(B47)^4</f>
        <v>4.1664527907575143E-4</v>
      </c>
      <c r="C54" s="83">
        <f t="shared" si="35"/>
        <v>3.7866172545776344E-4</v>
      </c>
      <c r="D54" s="83">
        <f t="shared" si="35"/>
        <v>1.118262060041014E-4</v>
      </c>
      <c r="E54" s="83">
        <f t="shared" si="35"/>
        <v>1.1656525304077778E-4</v>
      </c>
      <c r="F54" s="83">
        <f t="shared" si="35"/>
        <v>-7.9565733323538437E-5</v>
      </c>
      <c r="G54" s="83">
        <f t="shared" si="35"/>
        <v>1.6194554874597871E-4</v>
      </c>
      <c r="H54" s="83">
        <f t="shared" si="35"/>
        <v>-3.9963264600587301E-4</v>
      </c>
      <c r="I54" s="83">
        <f t="shared" si="35"/>
        <v>-3.3511940196086817E-4</v>
      </c>
      <c r="J54" s="83">
        <f t="shared" si="35"/>
        <v>-3.5050580724784635E-4</v>
      </c>
      <c r="K54" s="83">
        <f t="shared" si="35"/>
        <v>6.2856755346298043E-4</v>
      </c>
      <c r="L54" s="83">
        <f t="shared" si="35"/>
        <v>7.2075595242499966E-4</v>
      </c>
      <c r="M54" s="83">
        <f t="shared" si="35"/>
        <v>-1.3461165148075788E-4</v>
      </c>
      <c r="N54" s="83">
        <f t="shared" si="35"/>
        <v>-2.8458341141525287E-4</v>
      </c>
      <c r="O54" s="83">
        <f t="shared" si="35"/>
        <v>2.9361065538256259E-4</v>
      </c>
      <c r="P54" s="83">
        <f t="shared" si="35"/>
        <v>-4.6842910426545583E-4</v>
      </c>
      <c r="Q54" s="83">
        <f t="shared" si="35"/>
        <v>2.1753700649269746E-5</v>
      </c>
      <c r="R54" s="83">
        <f>4*(R52)*(R51)*(R48)*(R50)*(R47)^4</f>
        <v>8.7641554730998655E-5</v>
      </c>
      <c r="S54" s="83">
        <f>4*(S52)*(S51)*(S48)*(S50)*(S47)^4</f>
        <v>7.301716236045117E-5</v>
      </c>
      <c r="T54" s="83">
        <f>4*(T52)*(T51)*(T48)*(T50)*(T47)^4</f>
        <v>-6.7381524532387764E-5</v>
      </c>
      <c r="U54" s="83">
        <f>4*(U52)*(U51)*(U48)*(U50)*(U47)^4</f>
        <v>-1.4296974260069572E-5</v>
      </c>
      <c r="V54" s="83">
        <f>4*(V52)*(V51)*(V48)*(V50)*(V47)^4</f>
        <v>3.4443487238043901E-4</v>
      </c>
    </row>
    <row r="55" spans="1:39">
      <c r="A55" s="89" t="s">
        <v>374</v>
      </c>
      <c r="B55" s="83">
        <f t="shared" ref="B55:Q55" si="36">B43/2</f>
        <v>0.96119290634670129</v>
      </c>
      <c r="C55" s="83">
        <f t="shared" si="36"/>
        <v>0.87219693776919471</v>
      </c>
      <c r="D55" s="83">
        <f t="shared" si="36"/>
        <v>0.91212034978370304</v>
      </c>
      <c r="E55" s="83">
        <f t="shared" si="36"/>
        <v>0.92041039153663007</v>
      </c>
      <c r="F55" s="83">
        <f t="shared" si="36"/>
        <v>0.80436266087928865</v>
      </c>
      <c r="G55" s="83">
        <f t="shared" si="36"/>
        <v>0.90099474164628701</v>
      </c>
      <c r="H55" s="83">
        <f t="shared" si="36"/>
        <v>0.71446381181894336</v>
      </c>
      <c r="I55" s="83">
        <f t="shared" si="36"/>
        <v>0.68827677065212922</v>
      </c>
      <c r="J55" s="83">
        <f t="shared" si="36"/>
        <v>0.75030132010102968</v>
      </c>
      <c r="K55" s="83">
        <f t="shared" si="36"/>
        <v>0.83539898746258068</v>
      </c>
      <c r="L55" s="83">
        <f t="shared" si="36"/>
        <v>0.84948549546485164</v>
      </c>
      <c r="M55" s="83">
        <f t="shared" si="36"/>
        <v>0.77658081643100685</v>
      </c>
      <c r="N55" s="83">
        <f t="shared" si="36"/>
        <v>0.73747496112921918</v>
      </c>
      <c r="O55" s="83">
        <f t="shared" si="36"/>
        <v>0.7779648957691977</v>
      </c>
      <c r="P55" s="83">
        <f t="shared" si="36"/>
        <v>0.72866587374120495</v>
      </c>
      <c r="Q55" s="83">
        <f t="shared" si="36"/>
        <v>0.83648129109433023</v>
      </c>
      <c r="R55" s="83">
        <f>R43/2</f>
        <v>0.89723578891815214</v>
      </c>
      <c r="S55" s="83">
        <f>S43/2</f>
        <v>0.79317031389298709</v>
      </c>
      <c r="T55" s="83">
        <f>T43/2</f>
        <v>0.80350201710013736</v>
      </c>
      <c r="U55" s="83">
        <f>U43/2</f>
        <v>0.7038861233371122</v>
      </c>
      <c r="V55" s="83">
        <f>V43/2</f>
        <v>0.89370600241093101</v>
      </c>
    </row>
    <row r="56" spans="1:39">
      <c r="A56" s="89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</row>
    <row r="57" spans="1:39">
      <c r="A57" s="89" t="s">
        <v>409</v>
      </c>
      <c r="B57" s="83">
        <f t="shared" ref="B57:Q57" si="37">100*(((B31+B32)-(B41+B43+B44))*100)/(B44*100+(B39+B36+B37+B40+B38+B35)*100+((B31+B32)-(B41+B43+B44))*100)</f>
        <v>95.245437048707743</v>
      </c>
      <c r="C57" s="83">
        <f t="shared" si="37"/>
        <v>95.655105101446352</v>
      </c>
      <c r="D57" s="83">
        <f t="shared" si="37"/>
        <v>97.507717289608337</v>
      </c>
      <c r="E57" s="83">
        <f t="shared" si="37"/>
        <v>97.209719521932428</v>
      </c>
      <c r="F57" s="83">
        <f t="shared" si="37"/>
        <v>96.720014536205383</v>
      </c>
      <c r="G57" s="83">
        <f t="shared" si="37"/>
        <v>95.784879592306609</v>
      </c>
      <c r="H57" s="83">
        <f t="shared" si="37"/>
        <v>96.749078666271132</v>
      </c>
      <c r="I57" s="83">
        <f t="shared" si="37"/>
        <v>93.113660115384903</v>
      </c>
      <c r="J57" s="83">
        <f t="shared" si="37"/>
        <v>94.638229510468292</v>
      </c>
      <c r="K57" s="83">
        <f t="shared" si="37"/>
        <v>94.130099204132378</v>
      </c>
      <c r="L57" s="83">
        <f t="shared" si="37"/>
        <v>93.453426836771769</v>
      </c>
      <c r="M57" s="83">
        <f t="shared" si="37"/>
        <v>95.527152780928517</v>
      </c>
      <c r="N57" s="83">
        <f t="shared" si="37"/>
        <v>94.064883938672679</v>
      </c>
      <c r="O57" s="83">
        <f t="shared" si="37"/>
        <v>93.658072026043826</v>
      </c>
      <c r="P57" s="83">
        <f t="shared" si="37"/>
        <v>92.608151910659771</v>
      </c>
      <c r="Q57" s="83">
        <f t="shared" si="37"/>
        <v>95.801343816829359</v>
      </c>
      <c r="R57" s="83">
        <f>100*(((R31+R32)-(R41+R43+R44))*100)/(R44*100+(R39+R36+R37+R40+R38+R35)*100+((R31+R32)-(R41+R43+R44))*100)</f>
        <v>95.97518980755801</v>
      </c>
      <c r="S57" s="83">
        <f>100*(((S31+S32)-(S41+S43+S44))*100)/(S44*100+(S39+S36+S37+S40+S38+S35)*100+((S31+S32)-(S41+S43+S44))*100)</f>
        <v>96.073373314445192</v>
      </c>
      <c r="T57" s="83">
        <f>100*(((T31+T32)-(T41+T43+T44))*100)/(T44*100+(T39+T36+T37+T40+T38+T35)*100+((T31+T32)-(T41+T43+T44))*100)</f>
        <v>96.78957315730122</v>
      </c>
      <c r="U57" s="83">
        <f>100*(((U31+U32)-(U41+U43+U44))*100)/(U44*100+(U39+U36+U37+U40+U38+U35)*100+((U31+U32)-(U41+U43+U44))*100)</f>
        <v>95.618311999440351</v>
      </c>
      <c r="V57" s="83">
        <f>100*(((V31+V32)-(V41+V43+V44))*100)/(V44*100+(V39+V36+V37+V40+V38+V35)*100+((V31+V32)-(V41+V43+V44))*100)</f>
        <v>95.419014499851329</v>
      </c>
    </row>
    <row r="58" spans="1:39">
      <c r="A58" s="89" t="s">
        <v>28</v>
      </c>
      <c r="B58" s="83">
        <f t="shared" ref="B58:Q58" si="38">100*B44*100/((B39+B36+B37+B40+B38+B35)*100+B44*100+((B31+B32)-(B41+B43+B44))*100)</f>
        <v>0.82412632075676362</v>
      </c>
      <c r="C58" s="83">
        <f t="shared" si="38"/>
        <v>2.0416820769096127</v>
      </c>
      <c r="D58" s="83">
        <f t="shared" si="38"/>
        <v>0.71146326369763724</v>
      </c>
      <c r="E58" s="83">
        <f t="shared" si="38"/>
        <v>0.85682930318066541</v>
      </c>
      <c r="F58" s="83">
        <f t="shared" si="38"/>
        <v>1.2966667209486316</v>
      </c>
      <c r="G58" s="83">
        <f t="shared" si="38"/>
        <v>1.501475475069064</v>
      </c>
      <c r="H58" s="83">
        <f t="shared" si="38"/>
        <v>1.7522825757796197</v>
      </c>
      <c r="I58" s="83">
        <f t="shared" si="38"/>
        <v>5.1293986201443875</v>
      </c>
      <c r="J58" s="83">
        <f t="shared" si="38"/>
        <v>3.7276997584888649</v>
      </c>
      <c r="K58" s="83">
        <f t="shared" si="38"/>
        <v>4.2140048047580159</v>
      </c>
      <c r="L58" s="83">
        <f t="shared" si="38"/>
        <v>4.3705884140289202</v>
      </c>
      <c r="M58" s="83">
        <f t="shared" si="38"/>
        <v>2.807045359192716</v>
      </c>
      <c r="N58" s="83">
        <f t="shared" si="38"/>
        <v>4.3272042327659523</v>
      </c>
      <c r="O58" s="83">
        <f t="shared" si="38"/>
        <v>1.8253948779987226</v>
      </c>
      <c r="P58" s="83">
        <f t="shared" si="38"/>
        <v>5.1889769918331909</v>
      </c>
      <c r="Q58" s="83">
        <f t="shared" si="38"/>
        <v>0.53940342982942213</v>
      </c>
      <c r="R58" s="83">
        <f>100*R44*100/((R39+R36+R37+R40+R38+R35)*100+R44*100+((R31+R32)-(R41+R43+R44))*100)</f>
        <v>1.2966384631065799</v>
      </c>
      <c r="S58" s="83">
        <f>100*S44*100/((S39+S36+S37+S40+S38+S35)*100+S44*100+((S31+S32)-(S41+S43+S44))*100)</f>
        <v>1.6398287948729151</v>
      </c>
      <c r="T58" s="83">
        <f>100*T44*100/((T39+T36+T37+T40+T38+T35)*100+T44*100+((T31+T32)-(T41+T43+T44))*100)</f>
        <v>0.91688904226494716</v>
      </c>
      <c r="U58" s="83">
        <f>100*U44*100/((U39+U36+U37+U40+U38+U35)*100+U44*100+((U31+U32)-(U41+U43+U44))*100)</f>
        <v>0.51868612642071232</v>
      </c>
      <c r="V58" s="83">
        <f>100*V44*100/((V39+V36+V37+V40+V38+V35)*100+V44*100+((V31+V32)-(V41+V43+V44))*100)</f>
        <v>1.4191257316594694</v>
      </c>
    </row>
    <row r="59" spans="1:39">
      <c r="A59" s="89" t="s">
        <v>153</v>
      </c>
      <c r="B59" s="83">
        <f t="shared" ref="B59:Q59" si="39">100*(B39+B36+B37+B40+B38+B35)*100/(((B31+B32)-(B41+B43+B44))*100+B44*100+(B39+B36+B37+B40+B38+B35)*100)</f>
        <v>3.9304366305355072</v>
      </c>
      <c r="C59" s="83">
        <f t="shared" si="39"/>
        <v>2.3032128216440397</v>
      </c>
      <c r="D59" s="83">
        <f t="shared" si="39"/>
        <v>1.7808194466940317</v>
      </c>
      <c r="E59" s="83">
        <f t="shared" si="39"/>
        <v>1.9334511748869052</v>
      </c>
      <c r="F59" s="83">
        <f t="shared" si="39"/>
        <v>1.9833187428459804</v>
      </c>
      <c r="G59" s="83">
        <f t="shared" si="39"/>
        <v>2.7136449326243191</v>
      </c>
      <c r="H59" s="83">
        <f t="shared" si="39"/>
        <v>1.4986387579492331</v>
      </c>
      <c r="I59" s="83">
        <f t="shared" si="39"/>
        <v>1.7569412644706961</v>
      </c>
      <c r="J59" s="83">
        <f t="shared" si="39"/>
        <v>1.6340707310428513</v>
      </c>
      <c r="K59" s="83">
        <f t="shared" si="39"/>
        <v>1.6558959911096156</v>
      </c>
      <c r="L59" s="83">
        <f t="shared" si="39"/>
        <v>2.1759847491993218</v>
      </c>
      <c r="M59" s="83">
        <f t="shared" si="39"/>
        <v>1.6658018598787705</v>
      </c>
      <c r="N59" s="83">
        <f t="shared" si="39"/>
        <v>1.6079118285613772</v>
      </c>
      <c r="O59" s="83">
        <f t="shared" si="39"/>
        <v>4.516533095957441</v>
      </c>
      <c r="P59" s="83">
        <f t="shared" si="39"/>
        <v>2.2028710975070349</v>
      </c>
      <c r="Q59" s="83">
        <f t="shared" si="39"/>
        <v>3.6592527533412058</v>
      </c>
      <c r="R59" s="83">
        <f>100*(R39+R36+R37+R40+R38+R35)*100/(((R31+R32)-(R41+R43+R44))*100+R44*100+(R39+R36+R37+R40+R38+R35)*100)</f>
        <v>2.7281717293354064</v>
      </c>
      <c r="S59" s="83">
        <f>100*(S39+S36+S37+S40+S38+S35)*100/(((S31+S32)-(S41+S43+S44))*100+S44*100+(S39+S36+S37+S40+S38+S35)*100)</f>
        <v>2.2867978906818949</v>
      </c>
      <c r="T59" s="83">
        <f>100*(T39+T36+T37+T40+T38+T35)*100/(((T31+T32)-(T41+T43+T44))*100+T44*100+(T39+T36+T37+T40+T38+T35)*100)</f>
        <v>2.2935378004338376</v>
      </c>
      <c r="U59" s="83">
        <f>100*(U39+U36+U37+U40+U38+U35)*100/(((U31+U32)-(U41+U43+U44))*100+U44*100+(U39+U36+U37+U40+U38+U35)*100)</f>
        <v>3.8630018741389289</v>
      </c>
      <c r="V59" s="83">
        <f>100*(V39+V36+V37+V40+V38+V35)*100/(((V31+V32)-(V41+V43+V44))*100+V44*100+(V39+V36+V37+V40+V38+V35)*100)</f>
        <v>3.1618597684892098</v>
      </c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E66"/>
  <sheetViews>
    <sheetView topLeftCell="A8" workbookViewId="0">
      <selection sqref="A1:XFD1048576"/>
    </sheetView>
  </sheetViews>
  <sheetFormatPr baseColWidth="10" defaultColWidth="11.42578125" defaultRowHeight="14"/>
  <cols>
    <col min="1" max="1" width="7.42578125" style="22" customWidth="1"/>
    <col min="2" max="4" width="5.5703125" style="22" customWidth="1"/>
    <col min="5" max="10" width="5.5703125" style="36" customWidth="1"/>
    <col min="11" max="11" width="5" style="3" customWidth="1"/>
    <col min="12" max="14" width="4.5703125" style="3" customWidth="1"/>
    <col min="15" max="15" width="4.5703125" customWidth="1"/>
    <col min="16" max="22" width="4.5703125" style="3" customWidth="1"/>
    <col min="23" max="31" width="5.28515625" style="3" customWidth="1"/>
    <col min="32" max="37" width="4.5703125" style="3" customWidth="1"/>
    <col min="38" max="38" width="4.5703125" customWidth="1"/>
    <col min="39" max="44" width="5.28515625" style="3" customWidth="1"/>
    <col min="45" max="64" width="5.28515625" customWidth="1"/>
    <col min="65" max="241" width="11" customWidth="1"/>
  </cols>
  <sheetData>
    <row r="1" spans="1:57" s="17" customFormat="1" ht="13">
      <c r="E1" s="18"/>
      <c r="F1" s="18"/>
      <c r="G1" s="18"/>
      <c r="H1" s="18"/>
      <c r="I1" s="18"/>
      <c r="J1" s="18"/>
      <c r="K1" s="18"/>
      <c r="L1" s="18"/>
      <c r="M1" s="18"/>
      <c r="N1" s="18"/>
      <c r="P1" s="18"/>
      <c r="Q1" s="18"/>
      <c r="R1" s="18"/>
      <c r="S1" s="18"/>
      <c r="T1" s="18"/>
      <c r="U1" s="18"/>
      <c r="V1" s="18"/>
      <c r="W1" s="18" t="s">
        <v>67</v>
      </c>
      <c r="X1" s="18"/>
      <c r="Y1" s="18"/>
      <c r="Z1" s="18"/>
      <c r="AA1" s="18"/>
      <c r="AB1" s="18"/>
      <c r="AC1" s="18"/>
      <c r="AD1" s="18"/>
      <c r="AE1" s="18"/>
      <c r="AF1" s="18" t="s">
        <v>67</v>
      </c>
      <c r="AG1" s="18"/>
      <c r="AH1" s="18"/>
      <c r="AI1" s="18"/>
      <c r="AJ1" s="18"/>
      <c r="AK1" s="18"/>
      <c r="AM1" s="18" t="s">
        <v>66</v>
      </c>
      <c r="AN1" s="18"/>
      <c r="AO1" s="18"/>
      <c r="AP1" s="18"/>
      <c r="AQ1" s="18"/>
      <c r="AR1" s="18"/>
    </row>
    <row r="3" spans="1:57" s="2" customFormat="1">
      <c r="A3" s="44" t="s">
        <v>0</v>
      </c>
      <c r="B3" s="2">
        <v>261</v>
      </c>
      <c r="C3" s="10" t="s">
        <v>71</v>
      </c>
      <c r="D3" s="10" t="s">
        <v>71</v>
      </c>
      <c r="E3" s="10" t="s">
        <v>71</v>
      </c>
      <c r="F3" s="10" t="s">
        <v>71</v>
      </c>
      <c r="G3" s="10" t="s">
        <v>216</v>
      </c>
      <c r="H3" s="10" t="s">
        <v>216</v>
      </c>
      <c r="I3" s="10" t="s">
        <v>216</v>
      </c>
      <c r="J3" s="10" t="s">
        <v>216</v>
      </c>
      <c r="K3" s="10" t="s">
        <v>216</v>
      </c>
      <c r="L3" s="10" t="s">
        <v>72</v>
      </c>
      <c r="M3" s="10" t="s">
        <v>72</v>
      </c>
      <c r="N3" s="10" t="s">
        <v>72</v>
      </c>
      <c r="O3" s="10" t="s">
        <v>72</v>
      </c>
      <c r="P3" s="10" t="s">
        <v>72</v>
      </c>
      <c r="Q3" s="10" t="s">
        <v>72</v>
      </c>
      <c r="R3" s="10" t="s">
        <v>72</v>
      </c>
      <c r="S3" s="10" t="s">
        <v>2</v>
      </c>
      <c r="T3" s="10" t="s">
        <v>2</v>
      </c>
      <c r="U3" s="10" t="s">
        <v>2</v>
      </c>
      <c r="V3" s="10" t="s">
        <v>2</v>
      </c>
      <c r="W3" s="10" t="s">
        <v>217</v>
      </c>
      <c r="X3" s="10" t="s">
        <v>217</v>
      </c>
      <c r="Y3" s="10" t="s">
        <v>217</v>
      </c>
      <c r="Z3" s="10" t="s">
        <v>217</v>
      </c>
      <c r="AA3" s="10" t="s">
        <v>217</v>
      </c>
      <c r="AB3" s="10" t="s">
        <v>217</v>
      </c>
      <c r="AC3" s="10" t="s">
        <v>217</v>
      </c>
      <c r="AD3" s="10" t="s">
        <v>217</v>
      </c>
      <c r="AE3" s="10" t="s">
        <v>217</v>
      </c>
      <c r="AF3" s="10" t="s">
        <v>75</v>
      </c>
      <c r="AG3" s="10" t="s">
        <v>75</v>
      </c>
      <c r="AH3" s="10" t="s">
        <v>75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0" t="s">
        <v>75</v>
      </c>
      <c r="AP3" s="10" t="s">
        <v>75</v>
      </c>
      <c r="AQ3" s="10" t="s">
        <v>75</v>
      </c>
      <c r="AR3" s="10" t="s">
        <v>75</v>
      </c>
      <c r="AS3" s="10" t="s">
        <v>75</v>
      </c>
      <c r="AT3" s="10" t="s">
        <v>75</v>
      </c>
      <c r="AU3" s="10" t="s">
        <v>75</v>
      </c>
      <c r="AV3" s="10" t="s">
        <v>75</v>
      </c>
      <c r="AW3" s="10">
        <v>931</v>
      </c>
      <c r="AX3" s="10">
        <v>931</v>
      </c>
      <c r="AY3" s="10">
        <v>931</v>
      </c>
      <c r="AZ3" s="10">
        <v>931</v>
      </c>
      <c r="BA3" s="99" t="s">
        <v>390</v>
      </c>
      <c r="BB3" s="99" t="s">
        <v>390</v>
      </c>
      <c r="BC3" s="99" t="s">
        <v>388</v>
      </c>
      <c r="BD3" s="99" t="s">
        <v>388</v>
      </c>
      <c r="BE3" s="99" t="s">
        <v>388</v>
      </c>
    </row>
    <row r="4" spans="1:57" s="2" customFormat="1">
      <c r="A4" s="44" t="s">
        <v>4</v>
      </c>
      <c r="B4" s="2">
        <v>93</v>
      </c>
      <c r="C4" s="10" t="s">
        <v>410</v>
      </c>
      <c r="D4" s="10" t="s">
        <v>411</v>
      </c>
      <c r="E4" s="10" t="s">
        <v>412</v>
      </c>
      <c r="F4" s="10" t="s">
        <v>413</v>
      </c>
      <c r="G4" s="10">
        <v>127</v>
      </c>
      <c r="H4" s="10">
        <v>132</v>
      </c>
      <c r="I4" s="10" t="s">
        <v>414</v>
      </c>
      <c r="J4" s="10" t="s">
        <v>415</v>
      </c>
      <c r="K4" s="10" t="s">
        <v>416</v>
      </c>
      <c r="L4" s="10" t="s">
        <v>417</v>
      </c>
      <c r="M4" s="10" t="s">
        <v>332</v>
      </c>
      <c r="N4" s="10" t="s">
        <v>418</v>
      </c>
      <c r="O4" s="10" t="s">
        <v>419</v>
      </c>
      <c r="P4" s="10" t="s">
        <v>420</v>
      </c>
      <c r="Q4" s="10" t="s">
        <v>421</v>
      </c>
      <c r="R4" s="10" t="s">
        <v>290</v>
      </c>
      <c r="S4" s="10" t="s">
        <v>422</v>
      </c>
      <c r="T4" s="10" t="s">
        <v>423</v>
      </c>
      <c r="U4" s="10" t="s">
        <v>295</v>
      </c>
      <c r="V4" s="10" t="s">
        <v>424</v>
      </c>
      <c r="W4" s="99">
        <v>28</v>
      </c>
      <c r="X4" s="99">
        <v>29</v>
      </c>
      <c r="Y4" s="99">
        <v>30</v>
      </c>
      <c r="Z4" s="99">
        <v>31</v>
      </c>
      <c r="AA4" s="99">
        <v>32</v>
      </c>
      <c r="AB4" s="99">
        <v>33</v>
      </c>
      <c r="AC4" s="99">
        <v>34</v>
      </c>
      <c r="AD4" s="99">
        <v>36</v>
      </c>
      <c r="AE4" s="99">
        <v>37</v>
      </c>
      <c r="AF4" s="10" t="s">
        <v>425</v>
      </c>
      <c r="AG4" s="10" t="s">
        <v>424</v>
      </c>
      <c r="AH4" s="10" t="s">
        <v>426</v>
      </c>
      <c r="AI4" s="100" t="s">
        <v>427</v>
      </c>
      <c r="AJ4" s="10" t="s">
        <v>265</v>
      </c>
      <c r="AK4" s="10" t="s">
        <v>428</v>
      </c>
      <c r="AL4" s="10" t="s">
        <v>429</v>
      </c>
      <c r="AM4" s="10" t="s">
        <v>430</v>
      </c>
      <c r="AN4" s="10" t="s">
        <v>431</v>
      </c>
      <c r="AO4" s="10" t="s">
        <v>432</v>
      </c>
      <c r="AP4" s="10" t="s">
        <v>433</v>
      </c>
      <c r="AQ4" s="10" t="s">
        <v>434</v>
      </c>
      <c r="AR4" s="10" t="s">
        <v>297</v>
      </c>
      <c r="AS4" s="10" t="s">
        <v>435</v>
      </c>
      <c r="AT4" s="10" t="s">
        <v>417</v>
      </c>
      <c r="AU4" s="10" t="s">
        <v>436</v>
      </c>
      <c r="AV4" s="10" t="s">
        <v>437</v>
      </c>
      <c r="AW4" s="10" t="s">
        <v>438</v>
      </c>
      <c r="AX4" s="10" t="s">
        <v>423</v>
      </c>
      <c r="AY4" s="10" t="s">
        <v>439</v>
      </c>
      <c r="AZ4" s="10" t="s">
        <v>440</v>
      </c>
      <c r="BA4" s="99">
        <v>87</v>
      </c>
      <c r="BB4" s="99">
        <v>6</v>
      </c>
      <c r="BC4" s="99">
        <v>73</v>
      </c>
      <c r="BD4" s="99">
        <v>74</v>
      </c>
      <c r="BE4" s="99">
        <v>75</v>
      </c>
    </row>
    <row r="5" spans="1:57">
      <c r="A5" s="22" t="s">
        <v>5</v>
      </c>
      <c r="B5" s="2">
        <v>0</v>
      </c>
      <c r="C5" s="99">
        <v>0.03</v>
      </c>
      <c r="D5" s="99">
        <v>0.04</v>
      </c>
      <c r="E5" s="99">
        <v>0.02</v>
      </c>
      <c r="F5" s="99">
        <v>0.05</v>
      </c>
      <c r="G5" s="10">
        <v>0.01</v>
      </c>
      <c r="H5" s="10">
        <v>0.03</v>
      </c>
      <c r="I5" s="10">
        <v>0.01</v>
      </c>
      <c r="J5" s="10">
        <v>0.05</v>
      </c>
      <c r="K5" s="10">
        <v>0</v>
      </c>
      <c r="L5" s="99">
        <v>0</v>
      </c>
      <c r="M5" s="99">
        <v>0.01</v>
      </c>
      <c r="N5" s="99">
        <v>0.02</v>
      </c>
      <c r="O5" s="99">
        <v>0</v>
      </c>
      <c r="P5" s="99">
        <v>0</v>
      </c>
      <c r="Q5" s="99">
        <v>0</v>
      </c>
      <c r="R5" s="99">
        <v>0.02</v>
      </c>
      <c r="S5" s="10">
        <v>0.03</v>
      </c>
      <c r="T5" s="10">
        <v>0</v>
      </c>
      <c r="U5" s="10">
        <v>0.04</v>
      </c>
      <c r="V5" s="10">
        <v>0.04</v>
      </c>
      <c r="W5" s="99">
        <v>0.02</v>
      </c>
      <c r="X5" s="99">
        <v>0.02</v>
      </c>
      <c r="Y5" s="99">
        <v>0</v>
      </c>
      <c r="Z5" s="99">
        <v>0.03</v>
      </c>
      <c r="AA5" s="99">
        <v>0.02</v>
      </c>
      <c r="AB5" s="99">
        <v>0</v>
      </c>
      <c r="AC5" s="99">
        <v>0</v>
      </c>
      <c r="AD5" s="99">
        <v>0.01</v>
      </c>
      <c r="AE5" s="99">
        <v>0.02</v>
      </c>
      <c r="AF5" s="99">
        <v>0.01</v>
      </c>
      <c r="AG5" s="99">
        <v>0</v>
      </c>
      <c r="AH5" s="99">
        <v>0</v>
      </c>
      <c r="AI5" s="99">
        <v>0</v>
      </c>
      <c r="AJ5" s="99">
        <v>0.02</v>
      </c>
      <c r="AK5" s="99">
        <v>0</v>
      </c>
      <c r="AL5" s="99">
        <v>0.05</v>
      </c>
      <c r="AM5" s="21">
        <v>0.01</v>
      </c>
      <c r="AN5" s="21">
        <v>0</v>
      </c>
      <c r="AO5" s="21">
        <v>0.01</v>
      </c>
      <c r="AP5" s="21">
        <v>0.08</v>
      </c>
      <c r="AQ5" s="21">
        <v>0.04</v>
      </c>
      <c r="AR5" s="21">
        <v>0</v>
      </c>
      <c r="AS5" s="21">
        <v>0.03</v>
      </c>
      <c r="AT5" s="21">
        <v>0.01</v>
      </c>
      <c r="AU5" s="21">
        <v>0</v>
      </c>
      <c r="AV5" s="21">
        <v>1.34</v>
      </c>
      <c r="AW5" s="10">
        <v>0.01</v>
      </c>
      <c r="AX5" s="10">
        <v>0.03</v>
      </c>
      <c r="AY5" s="10">
        <v>0</v>
      </c>
      <c r="AZ5" s="10">
        <v>0</v>
      </c>
      <c r="BA5" s="99">
        <v>0</v>
      </c>
      <c r="BB5" s="99">
        <v>0.05</v>
      </c>
      <c r="BC5" s="99">
        <v>0.03</v>
      </c>
      <c r="BD5" s="99">
        <v>0</v>
      </c>
      <c r="BE5" s="99">
        <v>0</v>
      </c>
    </row>
    <row r="6" spans="1:57">
      <c r="A6" s="22" t="s">
        <v>6</v>
      </c>
      <c r="B6" s="2">
        <v>18.95</v>
      </c>
      <c r="C6" s="99">
        <v>12.94</v>
      </c>
      <c r="D6" s="99">
        <v>13.06</v>
      </c>
      <c r="E6" s="99">
        <v>12.97</v>
      </c>
      <c r="F6" s="99">
        <v>12.84</v>
      </c>
      <c r="G6" s="10">
        <v>13.23</v>
      </c>
      <c r="H6" s="10">
        <v>13.23</v>
      </c>
      <c r="I6" s="10">
        <v>12.94</v>
      </c>
      <c r="J6" s="10">
        <v>13.03</v>
      </c>
      <c r="K6" s="10">
        <v>13.45</v>
      </c>
      <c r="L6" s="99">
        <v>11.83</v>
      </c>
      <c r="M6" s="99">
        <v>11.86</v>
      </c>
      <c r="N6" s="99">
        <v>12.01</v>
      </c>
      <c r="O6" s="99">
        <v>12.04</v>
      </c>
      <c r="P6" s="99">
        <v>13.23</v>
      </c>
      <c r="Q6" s="99">
        <v>12</v>
      </c>
      <c r="R6" s="99">
        <v>12.46</v>
      </c>
      <c r="S6" s="10">
        <v>10.84</v>
      </c>
      <c r="T6" s="10">
        <v>10.7</v>
      </c>
      <c r="U6" s="10">
        <v>10.74</v>
      </c>
      <c r="V6" s="10">
        <v>11.61</v>
      </c>
      <c r="W6" s="99">
        <v>14.73</v>
      </c>
      <c r="X6" s="99">
        <v>15.85</v>
      </c>
      <c r="Y6" s="99">
        <v>15.47</v>
      </c>
      <c r="Z6" s="99">
        <v>18.27</v>
      </c>
      <c r="AA6" s="99">
        <v>15.5</v>
      </c>
      <c r="AB6" s="99">
        <v>14.24</v>
      </c>
      <c r="AC6" s="99">
        <v>15.21</v>
      </c>
      <c r="AD6" s="99">
        <v>14.43</v>
      </c>
      <c r="AE6" s="99">
        <v>14.47</v>
      </c>
      <c r="AF6" s="99">
        <v>12.63</v>
      </c>
      <c r="AG6" s="99">
        <v>13.08</v>
      </c>
      <c r="AH6" s="99">
        <v>13.32</v>
      </c>
      <c r="AI6" s="99">
        <v>13.25</v>
      </c>
      <c r="AJ6" s="99">
        <v>12.62</v>
      </c>
      <c r="AK6" s="99">
        <v>13.97</v>
      </c>
      <c r="AL6" s="99">
        <v>12.31</v>
      </c>
      <c r="AM6" s="21">
        <v>12.31</v>
      </c>
      <c r="AN6" s="21">
        <v>12.25</v>
      </c>
      <c r="AO6" s="21">
        <v>12.86</v>
      </c>
      <c r="AP6" s="21">
        <v>13.92</v>
      </c>
      <c r="AQ6" s="21">
        <v>13.85</v>
      </c>
      <c r="AR6" s="21">
        <v>12.55</v>
      </c>
      <c r="AS6" s="21">
        <v>13.75</v>
      </c>
      <c r="AT6" s="21">
        <v>13.4</v>
      </c>
      <c r="AU6" s="21">
        <v>12.55</v>
      </c>
      <c r="AV6" s="21">
        <v>0.46</v>
      </c>
      <c r="AW6" s="10">
        <v>11.09</v>
      </c>
      <c r="AX6" s="10">
        <v>11.19</v>
      </c>
      <c r="AY6" s="10">
        <v>11.55</v>
      </c>
      <c r="AZ6" s="10">
        <v>11.05</v>
      </c>
      <c r="BA6" s="99">
        <v>11.38</v>
      </c>
      <c r="BB6" s="99">
        <v>12.24</v>
      </c>
      <c r="BC6" s="99">
        <v>11.19</v>
      </c>
      <c r="BD6" s="99">
        <v>12.14</v>
      </c>
      <c r="BE6" s="99">
        <v>10.87</v>
      </c>
    </row>
    <row r="7" spans="1:57">
      <c r="A7" s="22" t="s">
        <v>7</v>
      </c>
      <c r="B7" s="2">
        <v>0.22</v>
      </c>
      <c r="C7" s="99">
        <v>0.12</v>
      </c>
      <c r="D7" s="99">
        <v>0.08</v>
      </c>
      <c r="E7" s="99">
        <v>0</v>
      </c>
      <c r="F7" s="99">
        <v>0.09</v>
      </c>
      <c r="G7" s="10">
        <v>0.1</v>
      </c>
      <c r="H7" s="10">
        <v>0.12</v>
      </c>
      <c r="I7" s="10">
        <v>0.09</v>
      </c>
      <c r="J7" s="10">
        <v>0.08</v>
      </c>
      <c r="K7" s="10">
        <v>0.11</v>
      </c>
      <c r="L7" s="99">
        <v>0.09</v>
      </c>
      <c r="M7" s="99">
        <v>7.0000000000000007E-2</v>
      </c>
      <c r="N7" s="99">
        <v>7.0000000000000007E-2</v>
      </c>
      <c r="O7" s="99">
        <v>0.12</v>
      </c>
      <c r="P7" s="99">
        <v>0.15</v>
      </c>
      <c r="Q7" s="99">
        <v>7.0000000000000007E-2</v>
      </c>
      <c r="R7" s="99">
        <v>0.04</v>
      </c>
      <c r="S7" s="10">
        <v>0.12</v>
      </c>
      <c r="T7" s="10">
        <v>0.09</v>
      </c>
      <c r="U7" s="10">
        <v>0.16</v>
      </c>
      <c r="V7" s="10">
        <v>0.11</v>
      </c>
      <c r="W7" s="99">
        <v>0.2</v>
      </c>
      <c r="X7" s="99">
        <v>0.13</v>
      </c>
      <c r="Y7" s="99">
        <v>0.11</v>
      </c>
      <c r="Z7" s="99">
        <v>0.17</v>
      </c>
      <c r="AA7" s="99">
        <v>7.0000000000000007E-2</v>
      </c>
      <c r="AB7" s="99">
        <v>0.08</v>
      </c>
      <c r="AC7" s="99">
        <v>0.08</v>
      </c>
      <c r="AD7" s="99">
        <v>7.0000000000000007E-2</v>
      </c>
      <c r="AE7" s="99">
        <v>0.12</v>
      </c>
      <c r="AF7" s="99">
        <v>7.0000000000000007E-2</v>
      </c>
      <c r="AG7" s="99">
        <v>0.08</v>
      </c>
      <c r="AH7" s="99">
        <v>0.05</v>
      </c>
      <c r="AI7" s="99">
        <v>0.09</v>
      </c>
      <c r="AJ7" s="99">
        <v>0.11</v>
      </c>
      <c r="AK7" s="99">
        <v>0.1</v>
      </c>
      <c r="AL7" s="99">
        <v>0.03</v>
      </c>
      <c r="AM7" s="21">
        <v>0.13</v>
      </c>
      <c r="AN7" s="21">
        <v>0.18</v>
      </c>
      <c r="AO7" s="21">
        <v>0.13</v>
      </c>
      <c r="AP7" s="21">
        <v>7.0000000000000007E-2</v>
      </c>
      <c r="AQ7" s="21">
        <v>0.06</v>
      </c>
      <c r="AR7" s="21">
        <v>0.08</v>
      </c>
      <c r="AS7" s="21">
        <v>0.15</v>
      </c>
      <c r="AT7" s="21">
        <v>0.08</v>
      </c>
      <c r="AU7" s="21">
        <v>0.15</v>
      </c>
      <c r="AV7" s="21">
        <v>0.13</v>
      </c>
      <c r="AW7" s="10">
        <v>0.28999999999999998</v>
      </c>
      <c r="AX7" s="10">
        <v>0.13</v>
      </c>
      <c r="AY7" s="10">
        <v>0.11</v>
      </c>
      <c r="AZ7" s="10">
        <v>0.01</v>
      </c>
      <c r="BA7" s="99">
        <v>0.09</v>
      </c>
      <c r="BB7" s="99">
        <v>0.11</v>
      </c>
      <c r="BC7" s="99">
        <v>0.1</v>
      </c>
      <c r="BD7" s="99">
        <v>0.16</v>
      </c>
      <c r="BE7" s="99">
        <v>0.08</v>
      </c>
    </row>
    <row r="8" spans="1:57">
      <c r="A8" s="22" t="s">
        <v>8</v>
      </c>
      <c r="B8" s="2">
        <v>0.01</v>
      </c>
      <c r="C8" s="99">
        <v>0.08</v>
      </c>
      <c r="D8" s="99">
        <v>0.04</v>
      </c>
      <c r="E8" s="99">
        <v>0.13</v>
      </c>
      <c r="F8" s="99">
        <v>0.06</v>
      </c>
      <c r="G8" s="10">
        <v>0</v>
      </c>
      <c r="H8" s="10">
        <v>0</v>
      </c>
      <c r="I8" s="10">
        <v>0</v>
      </c>
      <c r="J8" s="10">
        <v>0.03</v>
      </c>
      <c r="K8" s="10">
        <v>0</v>
      </c>
      <c r="L8" s="99">
        <v>7.0000000000000007E-2</v>
      </c>
      <c r="M8" s="99">
        <v>0</v>
      </c>
      <c r="N8" s="99">
        <v>0.01</v>
      </c>
      <c r="O8" s="99">
        <v>0.05</v>
      </c>
      <c r="P8" s="99">
        <v>0</v>
      </c>
      <c r="Q8" s="99">
        <v>0.08</v>
      </c>
      <c r="R8" s="99">
        <v>0.05</v>
      </c>
      <c r="S8" s="10">
        <v>0</v>
      </c>
      <c r="T8" s="10">
        <v>0.12</v>
      </c>
      <c r="U8" s="10">
        <v>0</v>
      </c>
      <c r="V8" s="10">
        <v>0.06</v>
      </c>
      <c r="W8" s="99">
        <v>3.9</v>
      </c>
      <c r="X8" s="99">
        <v>2.64</v>
      </c>
      <c r="Y8" s="99">
        <v>1.75</v>
      </c>
      <c r="Z8" s="99">
        <v>3.62</v>
      </c>
      <c r="AA8" s="99">
        <v>1.08</v>
      </c>
      <c r="AB8" s="99">
        <v>1.62</v>
      </c>
      <c r="AC8" s="99">
        <v>0.23</v>
      </c>
      <c r="AD8" s="99">
        <v>0.91</v>
      </c>
      <c r="AE8" s="99">
        <v>0.82</v>
      </c>
      <c r="AF8" s="99">
        <v>0.08</v>
      </c>
      <c r="AG8" s="99">
        <v>0.16</v>
      </c>
      <c r="AH8" s="99">
        <v>0.06</v>
      </c>
      <c r="AI8" s="99">
        <v>7.0000000000000007E-2</v>
      </c>
      <c r="AJ8" s="99">
        <v>0</v>
      </c>
      <c r="AK8" s="99">
        <v>0.1</v>
      </c>
      <c r="AL8" s="99">
        <v>4.25</v>
      </c>
      <c r="AM8" s="21">
        <v>0.09</v>
      </c>
      <c r="AN8" s="21">
        <v>0.13</v>
      </c>
      <c r="AO8" s="21">
        <v>0.1</v>
      </c>
      <c r="AP8" s="21">
        <v>0.08</v>
      </c>
      <c r="AQ8" s="21">
        <v>0.06</v>
      </c>
      <c r="AR8" s="21">
        <v>0.1</v>
      </c>
      <c r="AS8" s="21">
        <v>0.01</v>
      </c>
      <c r="AT8" s="21">
        <v>0.24</v>
      </c>
      <c r="AU8" s="21">
        <v>0.11</v>
      </c>
      <c r="AV8" s="21">
        <v>0.05</v>
      </c>
      <c r="AW8" s="10">
        <v>0.09</v>
      </c>
      <c r="AX8" s="10">
        <v>0.01</v>
      </c>
      <c r="AY8" s="10">
        <v>0</v>
      </c>
      <c r="AZ8" s="10">
        <v>0.04</v>
      </c>
      <c r="BA8" s="99">
        <v>0.18</v>
      </c>
      <c r="BB8" s="99">
        <v>0.09</v>
      </c>
      <c r="BC8" s="99">
        <v>0</v>
      </c>
      <c r="BD8" s="99">
        <v>0.02</v>
      </c>
      <c r="BE8" s="99">
        <v>0</v>
      </c>
    </row>
    <row r="9" spans="1:57">
      <c r="A9" s="22" t="s">
        <v>9</v>
      </c>
      <c r="B9" s="2">
        <v>0.16</v>
      </c>
      <c r="C9" s="99">
        <v>0.56999999999999995</v>
      </c>
      <c r="D9" s="99">
        <v>0.05</v>
      </c>
      <c r="E9" s="99">
        <v>0.02</v>
      </c>
      <c r="F9" s="99">
        <v>0.06</v>
      </c>
      <c r="G9" s="10">
        <v>0.03</v>
      </c>
      <c r="H9" s="10">
        <v>0.02</v>
      </c>
      <c r="I9" s="10">
        <v>0.08</v>
      </c>
      <c r="J9" s="10">
        <v>0.02</v>
      </c>
      <c r="K9" s="10">
        <v>0.06</v>
      </c>
      <c r="L9" s="99">
        <v>0.02</v>
      </c>
      <c r="M9" s="99">
        <v>0.06</v>
      </c>
      <c r="N9" s="99">
        <v>0</v>
      </c>
      <c r="O9" s="99">
        <v>0.09</v>
      </c>
      <c r="P9" s="99">
        <v>0.02</v>
      </c>
      <c r="Q9" s="99">
        <v>0.06</v>
      </c>
      <c r="R9" s="99">
        <v>0.01</v>
      </c>
      <c r="S9" s="10">
        <v>0</v>
      </c>
      <c r="T9" s="10">
        <v>0.03</v>
      </c>
      <c r="U9" s="10">
        <v>0.05</v>
      </c>
      <c r="V9" s="10">
        <v>0</v>
      </c>
      <c r="W9" s="99">
        <v>0.02</v>
      </c>
      <c r="X9" s="99">
        <v>0</v>
      </c>
      <c r="Y9" s="99">
        <v>0.04</v>
      </c>
      <c r="Z9" s="99">
        <v>0</v>
      </c>
      <c r="AA9" s="99">
        <v>0.03</v>
      </c>
      <c r="AB9" s="99">
        <v>0.05</v>
      </c>
      <c r="AC9" s="99">
        <v>0.01</v>
      </c>
      <c r="AD9" s="99">
        <v>0.1</v>
      </c>
      <c r="AE9" s="99">
        <v>0.01</v>
      </c>
      <c r="AF9" s="99">
        <v>0</v>
      </c>
      <c r="AG9" s="99">
        <v>0.03</v>
      </c>
      <c r="AH9" s="99">
        <v>0</v>
      </c>
      <c r="AI9" s="99">
        <v>0</v>
      </c>
      <c r="AJ9" s="99">
        <v>0.01</v>
      </c>
      <c r="AK9" s="99">
        <v>0.05</v>
      </c>
      <c r="AL9" s="99">
        <v>0.06</v>
      </c>
      <c r="AM9" s="21">
        <v>0</v>
      </c>
      <c r="AN9" s="21">
        <v>7.0000000000000007E-2</v>
      </c>
      <c r="AO9" s="21">
        <v>0.05</v>
      </c>
      <c r="AP9" s="21">
        <v>0.31</v>
      </c>
      <c r="AQ9" s="21">
        <v>0</v>
      </c>
      <c r="AR9" s="21">
        <v>0</v>
      </c>
      <c r="AS9" s="21">
        <v>0.06</v>
      </c>
      <c r="AT9" s="21">
        <v>0.01</v>
      </c>
      <c r="AU9" s="21">
        <v>0</v>
      </c>
      <c r="AV9" s="21">
        <v>0.46</v>
      </c>
      <c r="AW9" s="10">
        <v>0.08</v>
      </c>
      <c r="AX9" s="10">
        <v>7.0000000000000007E-2</v>
      </c>
      <c r="AY9" s="10">
        <v>0</v>
      </c>
      <c r="AZ9" s="10">
        <v>0.08</v>
      </c>
      <c r="BA9" s="99">
        <v>0.1</v>
      </c>
      <c r="BB9" s="99">
        <v>0.12</v>
      </c>
      <c r="BC9" s="99">
        <v>0</v>
      </c>
      <c r="BD9" s="99">
        <v>0</v>
      </c>
      <c r="BE9" s="99">
        <v>0.02</v>
      </c>
    </row>
    <row r="10" spans="1:57">
      <c r="A10" s="22" t="s">
        <v>118</v>
      </c>
      <c r="B10" s="2">
        <v>11.46</v>
      </c>
      <c r="C10" s="99">
        <v>3.02</v>
      </c>
      <c r="D10" s="99">
        <v>3.04</v>
      </c>
      <c r="E10" s="99">
        <v>3.06</v>
      </c>
      <c r="F10" s="99">
        <v>4.2</v>
      </c>
      <c r="G10" s="10">
        <v>5.74</v>
      </c>
      <c r="H10" s="10">
        <v>5.98</v>
      </c>
      <c r="I10" s="10">
        <v>6.15</v>
      </c>
      <c r="J10" s="10">
        <v>5.52</v>
      </c>
      <c r="K10" s="10">
        <v>5.9</v>
      </c>
      <c r="L10" s="99">
        <v>4.5599999999999996</v>
      </c>
      <c r="M10" s="99">
        <v>4.28</v>
      </c>
      <c r="N10" s="99">
        <v>4.1500000000000004</v>
      </c>
      <c r="O10" s="99">
        <v>4.72</v>
      </c>
      <c r="P10" s="99">
        <v>4.34</v>
      </c>
      <c r="Q10" s="99">
        <v>4.62</v>
      </c>
      <c r="R10" s="99">
        <v>3.97</v>
      </c>
      <c r="S10" s="10">
        <v>4.7</v>
      </c>
      <c r="T10" s="10">
        <v>4.99</v>
      </c>
      <c r="U10" s="10">
        <v>5.23</v>
      </c>
      <c r="V10" s="10">
        <v>5.3</v>
      </c>
      <c r="W10" s="99">
        <v>2.73</v>
      </c>
      <c r="X10" s="99">
        <v>2.88</v>
      </c>
      <c r="Y10" s="99">
        <v>2.81</v>
      </c>
      <c r="Z10" s="99">
        <v>3.94</v>
      </c>
      <c r="AA10" s="99">
        <v>2.96</v>
      </c>
      <c r="AB10" s="99">
        <v>3.16</v>
      </c>
      <c r="AC10" s="99">
        <v>2.83</v>
      </c>
      <c r="AD10" s="99">
        <v>2.74</v>
      </c>
      <c r="AE10" s="99">
        <v>1.75</v>
      </c>
      <c r="AF10" s="99">
        <v>3.63</v>
      </c>
      <c r="AG10" s="99">
        <v>3.52</v>
      </c>
      <c r="AH10" s="99">
        <v>2.78</v>
      </c>
      <c r="AI10" s="99">
        <v>3.51</v>
      </c>
      <c r="AJ10" s="99">
        <v>3.22</v>
      </c>
      <c r="AK10" s="99">
        <v>2.41</v>
      </c>
      <c r="AL10" s="99">
        <v>3.11</v>
      </c>
      <c r="AM10" s="21">
        <v>3.39</v>
      </c>
      <c r="AN10" s="21">
        <v>3.48</v>
      </c>
      <c r="AO10" s="21">
        <v>3.48</v>
      </c>
      <c r="AP10" s="21">
        <v>2.76</v>
      </c>
      <c r="AQ10" s="21">
        <v>2.4900000000000002</v>
      </c>
      <c r="AR10" s="21">
        <v>3.75</v>
      </c>
      <c r="AS10" s="21">
        <v>2.5499999999999998</v>
      </c>
      <c r="AT10" s="21">
        <v>2.83</v>
      </c>
      <c r="AU10" s="21">
        <v>3.27</v>
      </c>
      <c r="AV10" s="21">
        <v>0.71</v>
      </c>
      <c r="AW10" s="10">
        <v>4.3</v>
      </c>
      <c r="AX10" s="10">
        <v>4.3899999999999997</v>
      </c>
      <c r="AY10" s="10">
        <v>4.26</v>
      </c>
      <c r="AZ10" s="10">
        <v>4.84</v>
      </c>
      <c r="BA10" s="99">
        <v>7</v>
      </c>
      <c r="BB10" s="99">
        <v>7.01</v>
      </c>
      <c r="BC10" s="99">
        <v>5.01</v>
      </c>
      <c r="BD10" s="99">
        <v>4.5999999999999996</v>
      </c>
      <c r="BE10" s="99">
        <v>5.1100000000000003</v>
      </c>
    </row>
    <row r="11" spans="1:57">
      <c r="A11" s="22" t="s">
        <v>11</v>
      </c>
      <c r="B11" s="2">
        <v>0.04</v>
      </c>
      <c r="C11" s="99">
        <v>0</v>
      </c>
      <c r="D11" s="99">
        <v>0</v>
      </c>
      <c r="E11" s="99">
        <v>0</v>
      </c>
      <c r="F11" s="99">
        <v>0</v>
      </c>
      <c r="G11" s="10">
        <v>0</v>
      </c>
      <c r="H11" s="10">
        <v>0</v>
      </c>
      <c r="I11" s="10">
        <v>0.03</v>
      </c>
      <c r="J11" s="10">
        <v>0</v>
      </c>
      <c r="K11" s="10">
        <v>0.04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10">
        <v>0</v>
      </c>
      <c r="T11" s="10">
        <v>0.06</v>
      </c>
      <c r="U11" s="10">
        <v>0.02</v>
      </c>
      <c r="V11" s="10">
        <v>0.01</v>
      </c>
      <c r="W11" s="99">
        <v>0</v>
      </c>
      <c r="X11" s="99">
        <v>0.01</v>
      </c>
      <c r="Y11" s="99">
        <v>0.03</v>
      </c>
      <c r="Z11" s="99">
        <v>0</v>
      </c>
      <c r="AA11" s="99">
        <v>0.03</v>
      </c>
      <c r="AB11" s="99">
        <v>0.04</v>
      </c>
      <c r="AC11" s="99">
        <v>0.03</v>
      </c>
      <c r="AD11" s="99">
        <v>0.02</v>
      </c>
      <c r="AE11" s="99">
        <v>0</v>
      </c>
      <c r="AF11" s="99">
        <v>0</v>
      </c>
      <c r="AG11" s="99">
        <v>0</v>
      </c>
      <c r="AH11" s="99">
        <v>0</v>
      </c>
      <c r="AI11" s="99">
        <v>0</v>
      </c>
      <c r="AJ11" s="99">
        <v>0</v>
      </c>
      <c r="AK11" s="99">
        <v>0</v>
      </c>
      <c r="AL11" s="99">
        <v>0</v>
      </c>
      <c r="AM11" s="21">
        <v>0.02</v>
      </c>
      <c r="AN11" s="21">
        <v>0.05</v>
      </c>
      <c r="AO11" s="21">
        <v>0.06</v>
      </c>
      <c r="AP11" s="21">
        <v>0.02</v>
      </c>
      <c r="AQ11" s="21">
        <v>0</v>
      </c>
      <c r="AR11" s="21">
        <v>0</v>
      </c>
      <c r="AS11" s="21">
        <v>0.14000000000000001</v>
      </c>
      <c r="AT11" s="21">
        <v>0.03</v>
      </c>
      <c r="AU11" s="21">
        <v>7.0000000000000007E-2</v>
      </c>
      <c r="AV11" s="21">
        <v>0</v>
      </c>
      <c r="AW11" s="10">
        <v>0.44</v>
      </c>
      <c r="AX11" s="10">
        <v>0</v>
      </c>
      <c r="AY11" s="10">
        <v>0</v>
      </c>
      <c r="AZ11" s="10">
        <v>0.02</v>
      </c>
      <c r="BA11" s="99">
        <v>0.01</v>
      </c>
      <c r="BB11" s="99">
        <v>0.02</v>
      </c>
      <c r="BC11" s="99">
        <v>0.09</v>
      </c>
      <c r="BD11" s="99">
        <v>0.06</v>
      </c>
      <c r="BE11" s="99">
        <v>0</v>
      </c>
    </row>
    <row r="12" spans="1:57">
      <c r="A12" s="22" t="s">
        <v>12</v>
      </c>
      <c r="B12" s="2">
        <v>1.65</v>
      </c>
      <c r="C12" s="99">
        <v>7.5</v>
      </c>
      <c r="D12" s="99">
        <v>7.33</v>
      </c>
      <c r="E12" s="99">
        <v>7.42</v>
      </c>
      <c r="F12" s="99">
        <v>7.25</v>
      </c>
      <c r="G12" s="10">
        <v>6.45</v>
      </c>
      <c r="H12" s="10">
        <v>6.47</v>
      </c>
      <c r="I12" s="10">
        <v>6.65</v>
      </c>
      <c r="J12" s="10">
        <v>6.16</v>
      </c>
      <c r="K12" s="10">
        <v>6.48</v>
      </c>
      <c r="L12" s="99">
        <v>7.51</v>
      </c>
      <c r="M12" s="99">
        <v>7.48</v>
      </c>
      <c r="N12" s="99">
        <v>7.41</v>
      </c>
      <c r="O12" s="99">
        <v>7.56</v>
      </c>
      <c r="P12" s="99">
        <v>6.77</v>
      </c>
      <c r="Q12" s="99">
        <v>7.49</v>
      </c>
      <c r="R12" s="99">
        <v>7.49</v>
      </c>
      <c r="S12" s="10">
        <v>8.17</v>
      </c>
      <c r="T12" s="10">
        <v>8.07</v>
      </c>
      <c r="U12" s="10">
        <v>8.16</v>
      </c>
      <c r="V12" s="10">
        <v>8.16</v>
      </c>
      <c r="W12" s="99">
        <v>6.04</v>
      </c>
      <c r="X12" s="99">
        <v>5.75</v>
      </c>
      <c r="Y12" s="99">
        <v>6.29</v>
      </c>
      <c r="Z12" s="99">
        <v>4.43</v>
      </c>
      <c r="AA12" s="99">
        <v>6.07</v>
      </c>
      <c r="AB12" s="99">
        <v>7.02</v>
      </c>
      <c r="AC12" s="99">
        <v>6.26</v>
      </c>
      <c r="AD12" s="99">
        <v>6.43</v>
      </c>
      <c r="AE12" s="99">
        <v>6</v>
      </c>
      <c r="AF12" s="99">
        <v>7.28</v>
      </c>
      <c r="AG12" s="99">
        <v>6.73</v>
      </c>
      <c r="AH12" s="99">
        <v>6.68</v>
      </c>
      <c r="AI12" s="99">
        <v>6.7</v>
      </c>
      <c r="AJ12" s="99">
        <v>7.4</v>
      </c>
      <c r="AK12" s="99">
        <v>6.38</v>
      </c>
      <c r="AL12" s="99">
        <v>7.02</v>
      </c>
      <c r="AM12" s="21">
        <v>7.2</v>
      </c>
      <c r="AN12" s="21">
        <v>7.27</v>
      </c>
      <c r="AO12" s="21">
        <v>7.02</v>
      </c>
      <c r="AP12" s="21">
        <v>6.68</v>
      </c>
      <c r="AQ12" s="21">
        <v>6.35</v>
      </c>
      <c r="AR12" s="21">
        <v>7.26</v>
      </c>
      <c r="AS12" s="21">
        <v>6.33</v>
      </c>
      <c r="AT12" s="21">
        <v>6.48</v>
      </c>
      <c r="AU12" s="21">
        <v>6.99</v>
      </c>
      <c r="AV12" s="21">
        <v>6.11</v>
      </c>
      <c r="AW12" s="10">
        <v>7.82</v>
      </c>
      <c r="AX12" s="10">
        <v>7.94</v>
      </c>
      <c r="AY12" s="10">
        <v>7.43</v>
      </c>
      <c r="AZ12" s="10">
        <v>7.71</v>
      </c>
      <c r="BA12" s="99">
        <v>8.1300000000000008</v>
      </c>
      <c r="BB12" s="99">
        <v>6.87</v>
      </c>
      <c r="BC12" s="99">
        <v>7.71</v>
      </c>
      <c r="BD12" s="99">
        <v>7.08</v>
      </c>
      <c r="BE12" s="99">
        <v>7.99</v>
      </c>
    </row>
    <row r="13" spans="1:57">
      <c r="A13" s="22" t="s">
        <v>13</v>
      </c>
      <c r="B13" s="2">
        <v>51.91</v>
      </c>
      <c r="C13" s="99">
        <v>56.69</v>
      </c>
      <c r="D13" s="99">
        <v>56.58</v>
      </c>
      <c r="E13" s="99">
        <v>56.49</v>
      </c>
      <c r="F13" s="99">
        <v>55.63</v>
      </c>
      <c r="G13" s="10">
        <v>55.4</v>
      </c>
      <c r="H13" s="10">
        <v>55.42</v>
      </c>
      <c r="I13" s="10">
        <v>55.09</v>
      </c>
      <c r="J13" s="10">
        <v>54.95</v>
      </c>
      <c r="K13" s="10">
        <v>54.4</v>
      </c>
      <c r="L13" s="99">
        <v>55.79</v>
      </c>
      <c r="M13" s="99">
        <v>55.63</v>
      </c>
      <c r="N13" s="99">
        <v>55.77</v>
      </c>
      <c r="O13" s="99">
        <v>55.58</v>
      </c>
      <c r="P13" s="99">
        <v>56.12</v>
      </c>
      <c r="Q13" s="99">
        <v>55.82</v>
      </c>
      <c r="R13" s="99">
        <v>55.41</v>
      </c>
      <c r="S13" s="10">
        <v>55.48</v>
      </c>
      <c r="T13" s="10">
        <v>55.72</v>
      </c>
      <c r="U13" s="10">
        <v>55</v>
      </c>
      <c r="V13" s="10">
        <v>56</v>
      </c>
      <c r="W13" s="99">
        <v>57.52</v>
      </c>
      <c r="X13" s="99">
        <v>58.1</v>
      </c>
      <c r="Y13" s="99">
        <v>58.15</v>
      </c>
      <c r="Z13" s="99">
        <v>54.4</v>
      </c>
      <c r="AA13" s="99">
        <v>55.49</v>
      </c>
      <c r="AB13" s="99">
        <v>56.21</v>
      </c>
      <c r="AC13" s="99">
        <v>55.83</v>
      </c>
      <c r="AD13" s="99">
        <v>57.09</v>
      </c>
      <c r="AE13" s="99">
        <v>55.23</v>
      </c>
      <c r="AF13" s="99">
        <v>55.73</v>
      </c>
      <c r="AG13" s="99">
        <v>55.77</v>
      </c>
      <c r="AH13" s="99">
        <v>55.97</v>
      </c>
      <c r="AI13" s="99">
        <v>55.83</v>
      </c>
      <c r="AJ13" s="99">
        <v>56</v>
      </c>
      <c r="AK13" s="99">
        <v>56.16</v>
      </c>
      <c r="AL13" s="99">
        <v>55.05</v>
      </c>
      <c r="AM13" s="21">
        <v>55.82</v>
      </c>
      <c r="AN13" s="21">
        <v>55.73</v>
      </c>
      <c r="AO13" s="21">
        <v>55.26</v>
      </c>
      <c r="AP13" s="21">
        <v>55.49</v>
      </c>
      <c r="AQ13" s="21">
        <v>56.01</v>
      </c>
      <c r="AR13" s="21">
        <v>55.91</v>
      </c>
      <c r="AS13" s="21">
        <v>56.05</v>
      </c>
      <c r="AT13" s="21">
        <v>56.09</v>
      </c>
      <c r="AU13" s="21">
        <v>55.32</v>
      </c>
      <c r="AV13" s="21">
        <v>49.26</v>
      </c>
      <c r="AW13" s="10">
        <v>55.82</v>
      </c>
      <c r="AX13" s="10">
        <v>55.99</v>
      </c>
      <c r="AY13" s="10">
        <v>56.18</v>
      </c>
      <c r="AZ13" s="10">
        <v>55.56</v>
      </c>
      <c r="BA13" s="99">
        <v>56.9</v>
      </c>
      <c r="BB13" s="99">
        <v>55.91</v>
      </c>
      <c r="BC13" s="99">
        <v>55.62</v>
      </c>
      <c r="BD13" s="99">
        <v>55.11</v>
      </c>
      <c r="BE13" s="99">
        <v>55.69</v>
      </c>
    </row>
    <row r="14" spans="1:57">
      <c r="A14" s="22" t="s">
        <v>14</v>
      </c>
      <c r="B14" s="2">
        <v>5.47</v>
      </c>
      <c r="C14" s="99">
        <v>11.76</v>
      </c>
      <c r="D14" s="99">
        <v>11.59</v>
      </c>
      <c r="E14" s="99">
        <v>11.64</v>
      </c>
      <c r="F14" s="99">
        <v>11.67</v>
      </c>
      <c r="G14" s="10">
        <v>9.73</v>
      </c>
      <c r="H14" s="10">
        <v>9.85</v>
      </c>
      <c r="I14" s="10">
        <v>9.94</v>
      </c>
      <c r="J14" s="10">
        <v>9.56</v>
      </c>
      <c r="K14" s="10">
        <v>9.5</v>
      </c>
      <c r="L14" s="99">
        <v>11.91</v>
      </c>
      <c r="M14" s="99">
        <v>11.51</v>
      </c>
      <c r="N14" s="99">
        <v>11.74</v>
      </c>
      <c r="O14" s="99">
        <v>12.07</v>
      </c>
      <c r="P14" s="99">
        <v>10.91</v>
      </c>
      <c r="Q14" s="99">
        <v>12.12</v>
      </c>
      <c r="R14" s="99">
        <v>12</v>
      </c>
      <c r="S14" s="10">
        <v>13.67</v>
      </c>
      <c r="T14" s="10">
        <v>13.65</v>
      </c>
      <c r="U14" s="10">
        <v>13.23</v>
      </c>
      <c r="V14" s="10">
        <v>12.41</v>
      </c>
      <c r="W14" s="99">
        <v>8.6999999999999993</v>
      </c>
      <c r="X14" s="99">
        <v>8.66</v>
      </c>
      <c r="Y14" s="99">
        <v>9.8000000000000007</v>
      </c>
      <c r="Z14" s="99">
        <v>5.47</v>
      </c>
      <c r="AA14" s="99">
        <v>9.32</v>
      </c>
      <c r="AB14" s="99">
        <v>10.33</v>
      </c>
      <c r="AC14" s="99">
        <v>11.31</v>
      </c>
      <c r="AD14" s="99">
        <v>10.4</v>
      </c>
      <c r="AE14" s="99">
        <v>10.28</v>
      </c>
      <c r="AF14" s="99">
        <v>12.22</v>
      </c>
      <c r="AG14" s="99">
        <v>11.51</v>
      </c>
      <c r="AH14" s="99">
        <v>11.02</v>
      </c>
      <c r="AI14" s="99">
        <v>11.38</v>
      </c>
      <c r="AJ14" s="99">
        <v>11.42</v>
      </c>
      <c r="AK14" s="99">
        <v>10.83</v>
      </c>
      <c r="AL14" s="99">
        <v>9.64</v>
      </c>
      <c r="AM14" s="21">
        <v>12.47</v>
      </c>
      <c r="AN14" s="21">
        <v>12.9</v>
      </c>
      <c r="AO14" s="21">
        <v>12.27</v>
      </c>
      <c r="AP14" s="21">
        <v>11.27</v>
      </c>
      <c r="AQ14" s="21">
        <v>11.28</v>
      </c>
      <c r="AR14" s="21">
        <v>11.2</v>
      </c>
      <c r="AS14" s="21">
        <v>11.13</v>
      </c>
      <c r="AT14" s="21">
        <v>11.27</v>
      </c>
      <c r="AU14" s="21">
        <v>12.24</v>
      </c>
      <c r="AV14" s="21">
        <v>41.13</v>
      </c>
      <c r="AW14" s="10">
        <v>13.33</v>
      </c>
      <c r="AX14" s="10">
        <v>12.97</v>
      </c>
      <c r="AY14" s="10">
        <v>12.78</v>
      </c>
      <c r="AZ14" s="10">
        <v>11.55</v>
      </c>
      <c r="BA14" s="99">
        <v>10.84</v>
      </c>
      <c r="BB14" s="99">
        <v>10.199999999999999</v>
      </c>
      <c r="BC14" s="99">
        <v>11.4</v>
      </c>
      <c r="BD14" s="99">
        <v>11.74</v>
      </c>
      <c r="BE14" s="99">
        <v>11.82</v>
      </c>
    </row>
    <row r="15" spans="1:57">
      <c r="A15" s="22" t="s">
        <v>15</v>
      </c>
      <c r="B15" s="2">
        <v>10.73</v>
      </c>
      <c r="C15" s="99">
        <v>8.4</v>
      </c>
      <c r="D15" s="99">
        <v>8.67</v>
      </c>
      <c r="E15" s="99">
        <v>8.36</v>
      </c>
      <c r="F15" s="99">
        <v>8.0399999999999991</v>
      </c>
      <c r="G15" s="10">
        <v>8.49</v>
      </c>
      <c r="H15" s="10">
        <v>7.98</v>
      </c>
      <c r="I15" s="10">
        <v>8.44</v>
      </c>
      <c r="J15" s="10">
        <v>8.67</v>
      </c>
      <c r="K15" s="10">
        <v>8.48</v>
      </c>
      <c r="L15" s="99">
        <v>7.55</v>
      </c>
      <c r="M15" s="99">
        <v>7.82</v>
      </c>
      <c r="N15" s="99">
        <v>7.7</v>
      </c>
      <c r="O15" s="99">
        <v>7.37</v>
      </c>
      <c r="P15" s="99">
        <v>8.59</v>
      </c>
      <c r="Q15" s="99">
        <v>7.79</v>
      </c>
      <c r="R15" s="99">
        <v>8.01</v>
      </c>
      <c r="S15" s="10">
        <v>6.26</v>
      </c>
      <c r="T15" s="10">
        <v>6.36</v>
      </c>
      <c r="U15" s="10">
        <v>6.43</v>
      </c>
      <c r="V15" s="10">
        <v>6.97</v>
      </c>
      <c r="W15" s="99">
        <v>9.9700000000000006</v>
      </c>
      <c r="X15" s="99">
        <v>10.7</v>
      </c>
      <c r="Y15" s="99">
        <v>9.94</v>
      </c>
      <c r="Z15" s="99">
        <v>11.2</v>
      </c>
      <c r="AA15" s="99">
        <v>11.05</v>
      </c>
      <c r="AB15" s="99">
        <v>10.119999999999999</v>
      </c>
      <c r="AC15" s="99">
        <v>10.45</v>
      </c>
      <c r="AD15" s="99">
        <v>10.17</v>
      </c>
      <c r="AE15" s="99">
        <v>10.16</v>
      </c>
      <c r="AF15" s="99">
        <v>8.32</v>
      </c>
      <c r="AG15" s="99">
        <v>8.3699999999999992</v>
      </c>
      <c r="AH15" s="99">
        <v>9.1199999999999992</v>
      </c>
      <c r="AI15" s="99">
        <v>8.2899999999999991</v>
      </c>
      <c r="AJ15" s="99">
        <v>8.3699999999999992</v>
      </c>
      <c r="AK15" s="99">
        <v>9.4</v>
      </c>
      <c r="AL15" s="99">
        <v>7.84</v>
      </c>
      <c r="AM15" s="21">
        <v>8.26</v>
      </c>
      <c r="AN15" s="21">
        <v>8.14</v>
      </c>
      <c r="AO15" s="21">
        <v>8.66</v>
      </c>
      <c r="AP15" s="21">
        <v>9.7100000000000009</v>
      </c>
      <c r="AQ15" s="21">
        <v>9.7200000000000006</v>
      </c>
      <c r="AR15" s="21">
        <v>8.51</v>
      </c>
      <c r="AS15" s="21">
        <v>9.61</v>
      </c>
      <c r="AT15" s="21">
        <v>9.43</v>
      </c>
      <c r="AU15" s="21">
        <v>8.1300000000000008</v>
      </c>
      <c r="AV15" s="21">
        <v>0.32</v>
      </c>
      <c r="AW15" s="10">
        <v>6.95</v>
      </c>
      <c r="AX15" s="10">
        <v>7.05</v>
      </c>
      <c r="AY15" s="10">
        <v>7.33</v>
      </c>
      <c r="AZ15" s="10">
        <v>7.2</v>
      </c>
      <c r="BA15" s="99">
        <v>7.72</v>
      </c>
      <c r="BB15" s="99">
        <v>7.88</v>
      </c>
      <c r="BC15" s="99">
        <v>7.42</v>
      </c>
      <c r="BD15" s="99">
        <v>7.43</v>
      </c>
      <c r="BE15" s="99">
        <v>7.02</v>
      </c>
    </row>
    <row r="16" spans="1:57">
      <c r="A16" s="1" t="s">
        <v>16</v>
      </c>
      <c r="B16" s="36">
        <f t="shared" ref="B16:Q16" si="0">SUM(B5:B15)</f>
        <v>100.60000000000001</v>
      </c>
      <c r="C16" s="36">
        <f t="shared" si="0"/>
        <v>101.11</v>
      </c>
      <c r="D16" s="36">
        <f t="shared" si="0"/>
        <v>100.48</v>
      </c>
      <c r="E16" s="36">
        <f t="shared" si="0"/>
        <v>100.11</v>
      </c>
      <c r="F16" s="36">
        <f t="shared" si="0"/>
        <v>99.890000000000015</v>
      </c>
      <c r="G16" s="36">
        <f t="shared" si="0"/>
        <v>99.179999999999993</v>
      </c>
      <c r="H16" s="36">
        <f t="shared" si="0"/>
        <v>99.1</v>
      </c>
      <c r="I16" s="36">
        <f t="shared" si="0"/>
        <v>99.42</v>
      </c>
      <c r="J16" s="36">
        <f t="shared" si="0"/>
        <v>98.070000000000007</v>
      </c>
      <c r="K16" s="36">
        <f t="shared" si="0"/>
        <v>98.42</v>
      </c>
      <c r="L16" s="36">
        <f t="shared" si="0"/>
        <v>99.33</v>
      </c>
      <c r="M16" s="36">
        <f t="shared" si="0"/>
        <v>98.72</v>
      </c>
      <c r="N16" s="36">
        <f t="shared" si="0"/>
        <v>98.88</v>
      </c>
      <c r="O16" s="36">
        <f t="shared" si="0"/>
        <v>99.6</v>
      </c>
      <c r="P16" s="36">
        <f t="shared" si="0"/>
        <v>100.13</v>
      </c>
      <c r="Q16" s="36">
        <f t="shared" si="0"/>
        <v>100.05000000000001</v>
      </c>
      <c r="R16" s="36">
        <f t="shared" ref="R16:AG16" si="1">SUM(R5:R15)</f>
        <v>99.46</v>
      </c>
      <c r="S16" s="36">
        <f t="shared" si="1"/>
        <v>99.27000000000001</v>
      </c>
      <c r="T16" s="36">
        <f t="shared" si="1"/>
        <v>99.79</v>
      </c>
      <c r="U16" s="36">
        <f t="shared" si="1"/>
        <v>99.06</v>
      </c>
      <c r="V16" s="36">
        <f t="shared" si="1"/>
        <v>100.66999999999999</v>
      </c>
      <c r="W16" s="36">
        <f t="shared" si="1"/>
        <v>103.83</v>
      </c>
      <c r="X16" s="36">
        <f t="shared" si="1"/>
        <v>104.74</v>
      </c>
      <c r="Y16" s="36">
        <f t="shared" si="1"/>
        <v>104.38999999999999</v>
      </c>
      <c r="Z16" s="36">
        <f t="shared" si="1"/>
        <v>101.53</v>
      </c>
      <c r="AA16" s="36">
        <f t="shared" si="1"/>
        <v>101.61999999999999</v>
      </c>
      <c r="AB16" s="36">
        <f t="shared" si="1"/>
        <v>102.87</v>
      </c>
      <c r="AC16" s="36">
        <f t="shared" si="1"/>
        <v>102.24</v>
      </c>
      <c r="AD16" s="36">
        <f t="shared" si="1"/>
        <v>102.37</v>
      </c>
      <c r="AE16" s="36">
        <f t="shared" si="1"/>
        <v>98.859999999999985</v>
      </c>
      <c r="AF16" s="36">
        <f t="shared" si="1"/>
        <v>99.97</v>
      </c>
      <c r="AG16" s="36">
        <f t="shared" si="1"/>
        <v>99.250000000000014</v>
      </c>
      <c r="AH16" s="36">
        <f t="shared" ref="AH16:AW16" si="2">SUM(AH5:AH15)</f>
        <v>99</v>
      </c>
      <c r="AI16" s="36">
        <f t="shared" si="2"/>
        <v>99.12</v>
      </c>
      <c r="AJ16" s="36">
        <f t="shared" si="2"/>
        <v>99.17</v>
      </c>
      <c r="AK16" s="36">
        <f t="shared" si="2"/>
        <v>99.4</v>
      </c>
      <c r="AL16" s="36">
        <f t="shared" si="2"/>
        <v>99.36</v>
      </c>
      <c r="AM16" s="36">
        <f t="shared" si="2"/>
        <v>99.7</v>
      </c>
      <c r="AN16" s="36">
        <f t="shared" si="2"/>
        <v>100.2</v>
      </c>
      <c r="AO16" s="36">
        <f t="shared" si="2"/>
        <v>99.899999999999991</v>
      </c>
      <c r="AP16" s="36">
        <f t="shared" si="2"/>
        <v>100.38999999999999</v>
      </c>
      <c r="AQ16" s="36">
        <f t="shared" si="2"/>
        <v>99.86</v>
      </c>
      <c r="AR16" s="36">
        <f t="shared" si="2"/>
        <v>99.360000000000014</v>
      </c>
      <c r="AS16" s="36">
        <f t="shared" si="2"/>
        <v>99.809999999999988</v>
      </c>
      <c r="AT16" s="36">
        <f t="shared" si="2"/>
        <v>99.87</v>
      </c>
      <c r="AU16" s="36">
        <f t="shared" si="2"/>
        <v>98.83</v>
      </c>
      <c r="AV16" s="36">
        <f t="shared" si="2"/>
        <v>99.97</v>
      </c>
      <c r="AW16" s="36">
        <f t="shared" si="2"/>
        <v>100.22</v>
      </c>
      <c r="AX16" s="36">
        <f t="shared" ref="AX16:BE16" si="3">SUM(AX5:AX15)</f>
        <v>99.77</v>
      </c>
      <c r="AY16" s="36">
        <f t="shared" si="3"/>
        <v>99.64</v>
      </c>
      <c r="AZ16" s="36">
        <f t="shared" si="3"/>
        <v>98.06</v>
      </c>
      <c r="BA16" s="36">
        <f t="shared" si="3"/>
        <v>102.35</v>
      </c>
      <c r="BB16" s="36">
        <f t="shared" si="3"/>
        <v>100.49999999999999</v>
      </c>
      <c r="BC16" s="36">
        <f t="shared" si="3"/>
        <v>98.570000000000007</v>
      </c>
      <c r="BD16" s="36">
        <f t="shared" si="3"/>
        <v>98.34</v>
      </c>
      <c r="BE16" s="36">
        <f t="shared" si="3"/>
        <v>98.59999999999998</v>
      </c>
    </row>
    <row r="17" spans="1:57" hidden="1">
      <c r="A17" s="22" t="s">
        <v>206</v>
      </c>
      <c r="B17" s="36">
        <f t="shared" ref="B17:Q17" si="4">6/((B6/56.08)+(B7/79.9*2)+(B10/71.85)+(B9/70.94)+(B8/152.02*3)+(B13/60.09*2)+(B14/101.94*3)+(B15/40.32)+(B11/74.71)+(B5/94.2)+(B12/61.982))</f>
        <v>2.2326706487698376</v>
      </c>
      <c r="C17" s="36">
        <f t="shared" si="4"/>
        <v>2.1067650348786233</v>
      </c>
      <c r="D17" s="36">
        <f t="shared" si="4"/>
        <v>2.1151625505701954</v>
      </c>
      <c r="E17" s="36">
        <f t="shared" si="4"/>
        <v>2.1226068765859276</v>
      </c>
      <c r="F17" s="36">
        <f t="shared" si="4"/>
        <v>2.1401096190086539</v>
      </c>
      <c r="G17" s="36">
        <f t="shared" si="4"/>
        <v>2.1709967599379558</v>
      </c>
      <c r="H17" s="36">
        <f t="shared" si="4"/>
        <v>2.1743142065719279</v>
      </c>
      <c r="I17" s="36">
        <f t="shared" si="4"/>
        <v>2.1715938365029923</v>
      </c>
      <c r="J17" s="36">
        <f t="shared" si="4"/>
        <v>2.1919735426485052</v>
      </c>
      <c r="K17" s="36">
        <f t="shared" si="4"/>
        <v>2.1968818670925807</v>
      </c>
      <c r="L17" s="36">
        <f t="shared" si="4"/>
        <v>2.1473603325955244</v>
      </c>
      <c r="M17" s="36">
        <f t="shared" si="4"/>
        <v>2.159306783270619</v>
      </c>
      <c r="N17" s="36">
        <f t="shared" si="4"/>
        <v>2.1533814098361921</v>
      </c>
      <c r="O17" s="36">
        <f t="shared" si="4"/>
        <v>2.1463033215788432</v>
      </c>
      <c r="P17" s="36">
        <f t="shared" si="4"/>
        <v>2.1340464246956952</v>
      </c>
      <c r="Q17" s="36">
        <f t="shared" si="4"/>
        <v>2.1344234892891905</v>
      </c>
      <c r="R17" s="36">
        <f t="shared" ref="R17:AG17" si="5">6/((R6/56.08)+(R7/79.9*2)+(R10/71.85)+(R9/70.94)+(R8/152.02*3)+(R13/60.09*2)+(R14/101.94*3)+(R15/40.32)+(R11/74.71)+(R5/94.2)+(R12/61.982))</f>
        <v>2.1454142855008422</v>
      </c>
      <c r="S17" s="36">
        <f t="shared" si="5"/>
        <v>2.1444187930606589</v>
      </c>
      <c r="T17" s="36">
        <f t="shared" si="5"/>
        <v>2.1350097593052424</v>
      </c>
      <c r="U17" s="36">
        <f t="shared" si="5"/>
        <v>2.1576801928064588</v>
      </c>
      <c r="V17" s="36">
        <f t="shared" si="5"/>
        <v>2.1284971442305638</v>
      </c>
      <c r="W17" s="36">
        <f t="shared" si="5"/>
        <v>2.0701544708825774</v>
      </c>
      <c r="X17" s="36">
        <f t="shared" si="5"/>
        <v>2.0511545850762807</v>
      </c>
      <c r="Y17" s="36">
        <f t="shared" si="5"/>
        <v>2.0512379118404205</v>
      </c>
      <c r="Z17" s="36">
        <f t="shared" si="5"/>
        <v>2.1602335906709134</v>
      </c>
      <c r="AA17" s="36">
        <f t="shared" si="5"/>
        <v>2.1165109280680285</v>
      </c>
      <c r="AB17" s="36">
        <f t="shared" si="5"/>
        <v>2.0889698022120844</v>
      </c>
      <c r="AC17" s="36">
        <f t="shared" si="5"/>
        <v>2.0913790600097553</v>
      </c>
      <c r="AD17" s="36">
        <f t="shared" si="5"/>
        <v>2.0839672461197933</v>
      </c>
      <c r="AE17" s="36">
        <f t="shared" si="5"/>
        <v>2.1493977415061205</v>
      </c>
      <c r="AF17" s="36">
        <f t="shared" si="5"/>
        <v>2.1295600964123875</v>
      </c>
      <c r="AG17" s="36">
        <f t="shared" si="5"/>
        <v>2.1436797065366622</v>
      </c>
      <c r="AH17" s="36">
        <f t="shared" ref="AH17:AW17" si="6">6/((AH6/56.08)+(AH7/79.9*2)+(AH10/71.85)+(AH9/70.94)+(AH8/152.02*3)+(AH13/60.09*2)+(AH14/101.94*3)+(AH15/40.32)+(AH11/74.71)+(AH5/94.2)+(AH12/61.982))</f>
        <v>2.1430181407433171</v>
      </c>
      <c r="AI17" s="36">
        <f t="shared" si="6"/>
        <v>2.1462511131162767</v>
      </c>
      <c r="AJ17" s="36">
        <f t="shared" si="6"/>
        <v>2.1429431170113804</v>
      </c>
      <c r="AK17" s="36">
        <f t="shared" si="6"/>
        <v>2.1338545470799555</v>
      </c>
      <c r="AL17" s="36">
        <f t="shared" si="6"/>
        <v>2.1641574245445057</v>
      </c>
      <c r="AM17" s="36">
        <f t="shared" si="6"/>
        <v>2.1291864165803149</v>
      </c>
      <c r="AN17" s="36">
        <f t="shared" si="6"/>
        <v>2.1206690904621701</v>
      </c>
      <c r="AO17" s="36">
        <f t="shared" si="6"/>
        <v>2.1329788520254516</v>
      </c>
      <c r="AP17" s="36">
        <f t="shared" si="6"/>
        <v>2.1256947255340006</v>
      </c>
      <c r="AQ17" s="36">
        <f t="shared" si="6"/>
        <v>2.1243307731866841</v>
      </c>
      <c r="AR17" s="36">
        <f t="shared" si="6"/>
        <v>2.1439070962061932</v>
      </c>
      <c r="AS17" s="36">
        <f t="shared" si="6"/>
        <v>2.1267420713912415</v>
      </c>
      <c r="AT17" s="36">
        <f t="shared" si="6"/>
        <v>2.1256418153030405</v>
      </c>
      <c r="AU17" s="36">
        <f t="shared" si="6"/>
        <v>2.1489794634900634</v>
      </c>
      <c r="AV17" s="36">
        <f t="shared" si="6"/>
        <v>2.0003290223435033</v>
      </c>
      <c r="AW17" s="36">
        <f t="shared" si="6"/>
        <v>2.1258016084135001</v>
      </c>
      <c r="AX17" s="36">
        <f t="shared" ref="AX17:BE17" si="7">6/((AX6/56.08)+(AX7/79.9*2)+(AX10/71.85)+(AX9/70.94)+(AX8/152.02*3)+(AX13/60.09*2)+(AX14/101.94*3)+(AX15/40.32)+(AX11/74.71)+(AX5/94.2)+(AX12/61.982))</f>
        <v>2.1325155401902931</v>
      </c>
      <c r="AY17" s="36">
        <f t="shared" si="7"/>
        <v>2.1309587687051561</v>
      </c>
      <c r="AZ17" s="36">
        <f t="shared" si="7"/>
        <v>2.1747546022936159</v>
      </c>
      <c r="BA17" s="36">
        <f t="shared" si="7"/>
        <v>2.110320124696603</v>
      </c>
      <c r="BB17" s="36">
        <f t="shared" si="7"/>
        <v>2.1504061070186808</v>
      </c>
      <c r="BC17" s="36">
        <f t="shared" si="7"/>
        <v>2.1672976055263256</v>
      </c>
      <c r="BD17" s="36">
        <f t="shared" si="7"/>
        <v>2.1708062654663984</v>
      </c>
      <c r="BE17" s="36">
        <f t="shared" si="7"/>
        <v>2.1647713703531934</v>
      </c>
    </row>
    <row r="18" spans="1:57" hidden="1">
      <c r="A18" s="22" t="s">
        <v>207</v>
      </c>
      <c r="B18" s="36">
        <f t="shared" ref="B18:Q18" si="8">(B5/94.2*B17*2)+(B6/56.08*B17)+(B7/79.9*B17)+(B8/152.02*B17*2)+(B9/70.94*B17)+(B10/71.85*B17)+(B11/74.71*B17)+(B12/61.982*B17*2)+(B13/60.09*B17)+(B14/101.94*B17*2)+(B15/40.32*B17)</f>
        <v>4.004598685305683</v>
      </c>
      <c r="C18" s="36">
        <f t="shared" si="8"/>
        <v>4.0207217126518682</v>
      </c>
      <c r="D18" s="36">
        <f t="shared" si="8"/>
        <v>4.0162703614197621</v>
      </c>
      <c r="E18" s="36">
        <f t="shared" si="8"/>
        <v>4.0149267106669626</v>
      </c>
      <c r="F18" s="36">
        <f t="shared" si="8"/>
        <v>4.0219438265376244</v>
      </c>
      <c r="G18" s="36">
        <f t="shared" si="8"/>
        <v>4.0146633046508429</v>
      </c>
      <c r="H18" s="36">
        <f t="shared" si="8"/>
        <v>4.0089653267257788</v>
      </c>
      <c r="I18" s="36">
        <f t="shared" si="8"/>
        <v>4.0281257906552534</v>
      </c>
      <c r="J18" s="36">
        <f t="shared" si="8"/>
        <v>4.0063421672921118</v>
      </c>
      <c r="K18" s="36">
        <f t="shared" si="8"/>
        <v>4.0330635236087824</v>
      </c>
      <c r="L18" s="36">
        <f t="shared" si="8"/>
        <v>4.0121954792480778</v>
      </c>
      <c r="M18" s="36">
        <f t="shared" si="8"/>
        <v>4.0160779549437917</v>
      </c>
      <c r="N18" s="36">
        <f t="shared" si="8"/>
        <v>4.0093015029627423</v>
      </c>
      <c r="O18" s="36">
        <f t="shared" si="8"/>
        <v>4.018513921956087</v>
      </c>
      <c r="P18" s="36">
        <f t="shared" si="8"/>
        <v>4.0076366266833467</v>
      </c>
      <c r="Q18" s="36">
        <f t="shared" si="8"/>
        <v>4.018413618134657</v>
      </c>
      <c r="R18" s="36">
        <f t="shared" ref="R18:AG18" si="9">(R5/94.2*R17*2)+(R6/56.08*R17)+(R7/79.9*R17)+(R8/152.02*R17*2)+(R9/70.94*R17)+(R10/71.85*R17)+(R11/74.71*R17)+(R12/61.982*R17*2)+(R13/60.09*R17)+(R14/101.94*R17*2)+(R15/40.32*R17)</f>
        <v>4.0270581230679579</v>
      </c>
      <c r="S18" s="36">
        <f t="shared" si="9"/>
        <v>4.0126573580818183</v>
      </c>
      <c r="T18" s="36">
        <f t="shared" si="9"/>
        <v>4.0082606336453903</v>
      </c>
      <c r="U18" s="36">
        <f t="shared" si="9"/>
        <v>4.025716795527198</v>
      </c>
      <c r="V18" s="36">
        <f t="shared" si="9"/>
        <v>4.0346109532185173</v>
      </c>
      <c r="W18" s="36">
        <f t="shared" si="9"/>
        <v>3.9855889338723349</v>
      </c>
      <c r="X18" s="36">
        <f t="shared" si="9"/>
        <v>3.994284789001501</v>
      </c>
      <c r="Y18" s="36">
        <f t="shared" si="9"/>
        <v>3.9995151204594448</v>
      </c>
      <c r="Z18" s="36">
        <f t="shared" si="9"/>
        <v>4.0274535518212513</v>
      </c>
      <c r="AA18" s="36">
        <f t="shared" si="9"/>
        <v>4.0428391859557928</v>
      </c>
      <c r="AB18" s="36">
        <f t="shared" si="9"/>
        <v>4.0464719760515679</v>
      </c>
      <c r="AC18" s="36">
        <f t="shared" si="9"/>
        <v>4.0308179107215611</v>
      </c>
      <c r="AD18" s="36">
        <f t="shared" si="9"/>
        <v>4.0095781230661807</v>
      </c>
      <c r="AE18" s="36">
        <f t="shared" si="9"/>
        <v>4.001390582521374</v>
      </c>
      <c r="AF18" s="36">
        <f t="shared" si="9"/>
        <v>4.0170402339175073</v>
      </c>
      <c r="AG18" s="36">
        <f t="shared" si="9"/>
        <v>3.9967501202214564</v>
      </c>
      <c r="AH18" s="36">
        <f t="shared" ref="AH18:AW18" si="10">(AH5/94.2*AH17*2)+(AH6/56.08*AH17)+(AH7/79.9*AH17)+(AH8/152.02*AH17*2)+(AH9/70.94*AH17)+(AH10/71.85*AH17)+(AH11/74.71*AH17)+(AH12/61.982*AH17*2)+(AH13/60.09*AH17)+(AH14/101.94*AH17*2)+(AH15/40.32*AH17)</f>
        <v>4.001022193482485</v>
      </c>
      <c r="AI18" s="36">
        <f t="shared" si="10"/>
        <v>3.994904366911701</v>
      </c>
      <c r="AJ18" s="36">
        <f t="shared" si="10"/>
        <v>4.0161982268666829</v>
      </c>
      <c r="AK18" s="36">
        <f t="shared" si="10"/>
        <v>3.9945750524403758</v>
      </c>
      <c r="AL18" s="36">
        <f t="shared" si="10"/>
        <v>3.9976477844677163</v>
      </c>
      <c r="AM18" s="36">
        <f t="shared" si="10"/>
        <v>4.0044904443197158</v>
      </c>
      <c r="AN18" s="36">
        <f t="shared" si="10"/>
        <v>4.0069887288942745</v>
      </c>
      <c r="AO18" s="36">
        <f t="shared" si="10"/>
        <v>4.018664241670324</v>
      </c>
      <c r="AP18" s="36">
        <f t="shared" si="10"/>
        <v>4.0299417338931427</v>
      </c>
      <c r="AQ18" s="36">
        <f t="shared" si="10"/>
        <v>4.0009472373866108</v>
      </c>
      <c r="AR18" s="36">
        <f t="shared" si="10"/>
        <v>4.0172407380778967</v>
      </c>
      <c r="AS18" s="36">
        <f t="shared" si="10"/>
        <v>3.9977837397121365</v>
      </c>
      <c r="AT18" s="36">
        <f t="shared" si="10"/>
        <v>3.9978244634679507</v>
      </c>
      <c r="AU18" s="36">
        <f t="shared" si="10"/>
        <v>4.0003403107775695</v>
      </c>
      <c r="AV18" s="36">
        <f t="shared" si="10"/>
        <v>3.7748402885395862</v>
      </c>
      <c r="AW18" s="36">
        <f t="shared" si="10"/>
        <v>4.0067360343002596</v>
      </c>
      <c r="AX18" s="36">
        <f t="shared" ref="AX18:BE18" si="11">(AX5/94.2*AX17*2)+(AX6/56.08*AX17)+(AX7/79.9*AX17)+(AX8/152.02*AX17*2)+(AX9/70.94*AX17)+(AX10/71.85*AX17)+(AX11/74.71*AX17)+(AX12/61.982*AX17*2)+(AX13/60.09*AX17)+(AX14/101.94*AX17*2)+(AX15/40.32*AX17)</f>
        <v>4.011912584042622</v>
      </c>
      <c r="AY18" s="36">
        <f t="shared" si="11"/>
        <v>3.9930587492300185</v>
      </c>
      <c r="AZ18" s="36">
        <f t="shared" si="11"/>
        <v>4.0124649102980063</v>
      </c>
      <c r="BA18" s="36">
        <f t="shared" si="11"/>
        <v>4.0492340584229947</v>
      </c>
      <c r="BB18" s="36">
        <f t="shared" si="11"/>
        <v>4.0192698222318084</v>
      </c>
      <c r="BC18" s="36">
        <f t="shared" si="11"/>
        <v>4.019124205724812</v>
      </c>
      <c r="BD18" s="36">
        <f t="shared" si="11"/>
        <v>4.0024296076663202</v>
      </c>
      <c r="BE18" s="36">
        <f t="shared" si="11"/>
        <v>4.0196240284333609</v>
      </c>
    </row>
    <row r="19" spans="1:57">
      <c r="A19" s="1" t="s">
        <v>441</v>
      </c>
      <c r="B19" s="36"/>
      <c r="C19" s="36"/>
      <c r="D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 spans="1:57" s="5" customFormat="1">
      <c r="A20" s="15" t="s">
        <v>18</v>
      </c>
      <c r="B20" s="49">
        <f t="shared" ref="B20:Q20" si="12">(B13/60.09*B17)*4/B18</f>
        <v>1.9265242446055928</v>
      </c>
      <c r="C20" s="49">
        <f t="shared" si="12"/>
        <v>1.9773171403190795</v>
      </c>
      <c r="D20" s="49">
        <f t="shared" si="12"/>
        <v>1.9835426300139094</v>
      </c>
      <c r="E20" s="49">
        <f t="shared" si="12"/>
        <v>1.9880225531244493</v>
      </c>
      <c r="F20" s="49">
        <f t="shared" si="12"/>
        <v>1.9704565629002404</v>
      </c>
      <c r="G20" s="49">
        <f t="shared" si="12"/>
        <v>1.9942408078592024</v>
      </c>
      <c r="H20" s="49">
        <f t="shared" si="12"/>
        <v>2.000848988908936</v>
      </c>
      <c r="I20" s="49">
        <f t="shared" si="12"/>
        <v>1.9769975711734484</v>
      </c>
      <c r="J20" s="49">
        <f t="shared" si="12"/>
        <v>2.0013025736273984</v>
      </c>
      <c r="K20" s="49">
        <f t="shared" si="12"/>
        <v>1.9725514001376492</v>
      </c>
      <c r="L20" s="49">
        <f t="shared" si="12"/>
        <v>1.9876366256135958</v>
      </c>
      <c r="M20" s="49">
        <f t="shared" si="12"/>
        <v>1.991035768639102</v>
      </c>
      <c r="N20" s="49">
        <f t="shared" si="12"/>
        <v>1.9939335205577033</v>
      </c>
      <c r="O20" s="49">
        <f t="shared" si="12"/>
        <v>1.9760682949416881</v>
      </c>
      <c r="P20" s="49">
        <f t="shared" si="12"/>
        <v>1.9892573691626503</v>
      </c>
      <c r="Q20" s="49">
        <f t="shared" si="12"/>
        <v>1.9736656115222386</v>
      </c>
      <c r="R20" s="49">
        <f t="shared" ref="R20:AG20" si="13">(R13/60.09*R17)*4/R18</f>
        <v>1.9650301021627667</v>
      </c>
      <c r="S20" s="49">
        <f t="shared" si="13"/>
        <v>1.9736574011177135</v>
      </c>
      <c r="T20" s="49">
        <f t="shared" si="13"/>
        <v>1.9756627258051671</v>
      </c>
      <c r="U20" s="49">
        <f t="shared" si="13"/>
        <v>1.9622951575250305</v>
      </c>
      <c r="V20" s="49">
        <f t="shared" si="13"/>
        <v>1.9666053800604102</v>
      </c>
      <c r="W20" s="49">
        <f t="shared" si="13"/>
        <v>1.988780775409172</v>
      </c>
      <c r="X20" s="49">
        <f t="shared" si="13"/>
        <v>1.9860642107789968</v>
      </c>
      <c r="Y20" s="49">
        <f t="shared" si="13"/>
        <v>1.9852545410530233</v>
      </c>
      <c r="Z20" s="49">
        <f t="shared" si="13"/>
        <v>1.9423471891646116</v>
      </c>
      <c r="AA20" s="49">
        <f t="shared" si="13"/>
        <v>1.9337777582096201</v>
      </c>
      <c r="AB20" s="49">
        <f t="shared" si="13"/>
        <v>1.9316435912385947</v>
      </c>
      <c r="AC20" s="49">
        <f t="shared" si="13"/>
        <v>1.9282573294646355</v>
      </c>
      <c r="AD20" s="49">
        <f t="shared" si="13"/>
        <v>1.9751952813908649</v>
      </c>
      <c r="AE20" s="49">
        <f t="shared" si="13"/>
        <v>1.9748707299489305</v>
      </c>
      <c r="AF20" s="49">
        <f t="shared" si="13"/>
        <v>1.9666657261259965</v>
      </c>
      <c r="AG20" s="49">
        <f t="shared" si="13"/>
        <v>1.9911837152412322</v>
      </c>
      <c r="AH20" s="49">
        <f t="shared" ref="AH20:AW20" si="14">(AH13/60.09*AH17)*4/AH18</f>
        <v>1.995574662826832</v>
      </c>
      <c r="AI20" s="49">
        <f t="shared" si="14"/>
        <v>1.996639052483784</v>
      </c>
      <c r="AJ20" s="49">
        <f t="shared" si="14"/>
        <v>1.9890299261235316</v>
      </c>
      <c r="AK20" s="49">
        <f t="shared" si="14"/>
        <v>1.9970048230600179</v>
      </c>
      <c r="AL20" s="49">
        <f t="shared" si="14"/>
        <v>1.9838070617510521</v>
      </c>
      <c r="AM20" s="49">
        <f t="shared" si="14"/>
        <v>1.9756683596341915</v>
      </c>
      <c r="AN20" s="49">
        <f t="shared" si="14"/>
        <v>1.9633675823378398</v>
      </c>
      <c r="AO20" s="49">
        <f t="shared" si="14"/>
        <v>1.952421111012083</v>
      </c>
      <c r="AP20" s="49">
        <f t="shared" si="14"/>
        <v>1.9483843836524708</v>
      </c>
      <c r="AQ20" s="49">
        <f t="shared" si="14"/>
        <v>1.9796238443838432</v>
      </c>
      <c r="AR20" s="49">
        <f t="shared" si="14"/>
        <v>1.9862110019947352</v>
      </c>
      <c r="AS20" s="49">
        <f t="shared" si="14"/>
        <v>1.9848556570070373</v>
      </c>
      <c r="AT20" s="49">
        <f t="shared" si="14"/>
        <v>1.9852243387806483</v>
      </c>
      <c r="AU20" s="49">
        <f t="shared" si="14"/>
        <v>1.9782231754538961</v>
      </c>
      <c r="AV20" s="49">
        <f t="shared" si="14"/>
        <v>1.7376209708314181</v>
      </c>
      <c r="AW20" s="49">
        <f t="shared" si="14"/>
        <v>1.971422091678156</v>
      </c>
      <c r="AX20" s="49">
        <f t="shared" ref="AX20:BE20" si="15">(AX13/60.09*AX17)*4/AX18</f>
        <v>1.9811118600210524</v>
      </c>
      <c r="AY20" s="49">
        <f t="shared" si="15"/>
        <v>1.9957625502650058</v>
      </c>
      <c r="AZ20" s="49">
        <f t="shared" si="15"/>
        <v>2.0045598871011197</v>
      </c>
      <c r="BA20" s="49">
        <f t="shared" si="15"/>
        <v>1.9739925676770116</v>
      </c>
      <c r="BB20" s="49">
        <f t="shared" si="15"/>
        <v>1.9912262186159178</v>
      </c>
      <c r="BC20" s="49">
        <f t="shared" si="15"/>
        <v>1.9965302528500652</v>
      </c>
      <c r="BD20" s="49">
        <f t="shared" si="15"/>
        <v>1.9896906640990788</v>
      </c>
      <c r="BE20" s="49">
        <f t="shared" si="15"/>
        <v>1.9964645686935074</v>
      </c>
    </row>
    <row r="21" spans="1:57" s="5" customFormat="1">
      <c r="A21" s="7" t="s">
        <v>122</v>
      </c>
      <c r="B21" s="49">
        <f t="shared" ref="B21:Q21" si="16">IF(2-B20&gt;0,IF(((B14/101.94*B17*2)*4/B18)&gt;2-B20,2-B20,((B14/101.94*B17*2)*4/B18)),0)</f>
        <v>7.3475755394407205E-2</v>
      </c>
      <c r="C21" s="49">
        <f t="shared" si="16"/>
        <v>2.2682859680920542E-2</v>
      </c>
      <c r="D21" s="49">
        <f t="shared" si="16"/>
        <v>1.6457369986090598E-2</v>
      </c>
      <c r="E21" s="49">
        <f t="shared" si="16"/>
        <v>1.197744687555069E-2</v>
      </c>
      <c r="F21" s="49">
        <f t="shared" si="16"/>
        <v>2.9543437099759595E-2</v>
      </c>
      <c r="G21" s="49">
        <f t="shared" si="16"/>
        <v>5.7591921407975644E-3</v>
      </c>
      <c r="H21" s="49">
        <f t="shared" si="16"/>
        <v>0</v>
      </c>
      <c r="I21" s="49">
        <f t="shared" si="16"/>
        <v>2.3002428826551569E-2</v>
      </c>
      <c r="J21" s="49">
        <f t="shared" si="16"/>
        <v>0</v>
      </c>
      <c r="K21" s="49">
        <f t="shared" si="16"/>
        <v>2.744859986235082E-2</v>
      </c>
      <c r="L21" s="49">
        <f t="shared" si="16"/>
        <v>1.2363374386404224E-2</v>
      </c>
      <c r="M21" s="49">
        <f t="shared" si="16"/>
        <v>8.9642313608979673E-3</v>
      </c>
      <c r="N21" s="49">
        <f t="shared" si="16"/>
        <v>6.0664794422966573E-3</v>
      </c>
      <c r="O21" s="49">
        <f t="shared" si="16"/>
        <v>2.3931705058311881E-2</v>
      </c>
      <c r="P21" s="49">
        <f t="shared" si="16"/>
        <v>1.074263083734972E-2</v>
      </c>
      <c r="Q21" s="49">
        <f t="shared" si="16"/>
        <v>2.6334388477761372E-2</v>
      </c>
      <c r="R21" s="49">
        <f t="shared" ref="R21:AG21" si="17">IF(2-R20&gt;0,IF(((R14/101.94*R17*2)*4/R18)&gt;2-R20,2-R20,((R14/101.94*R17*2)*4/R18)),0)</f>
        <v>3.4969897837233255E-2</v>
      </c>
      <c r="S21" s="49">
        <f t="shared" si="17"/>
        <v>2.6342598882286516E-2</v>
      </c>
      <c r="T21" s="49">
        <f t="shared" si="17"/>
        <v>2.4337274194832892E-2</v>
      </c>
      <c r="U21" s="49">
        <f t="shared" si="17"/>
        <v>3.7704842474969524E-2</v>
      </c>
      <c r="V21" s="49">
        <f t="shared" si="17"/>
        <v>3.3394619939589809E-2</v>
      </c>
      <c r="W21" s="49">
        <f t="shared" si="17"/>
        <v>1.1219224590828025E-2</v>
      </c>
      <c r="X21" s="49">
        <f t="shared" si="17"/>
        <v>1.3935789221003247E-2</v>
      </c>
      <c r="Y21" s="49">
        <f t="shared" si="17"/>
        <v>1.4745458946976653E-2</v>
      </c>
      <c r="Z21" s="49">
        <f t="shared" si="17"/>
        <v>5.7652810835388424E-2</v>
      </c>
      <c r="AA21" s="49">
        <f t="shared" si="17"/>
        <v>6.6222241790379943E-2</v>
      </c>
      <c r="AB21" s="49">
        <f t="shared" si="17"/>
        <v>6.8356408761405252E-2</v>
      </c>
      <c r="AC21" s="49">
        <f t="shared" si="17"/>
        <v>7.1742670535364539E-2</v>
      </c>
      <c r="AD21" s="49">
        <f t="shared" si="17"/>
        <v>2.4804718609135135E-2</v>
      </c>
      <c r="AE21" s="49">
        <f t="shared" si="17"/>
        <v>2.5129270051069463E-2</v>
      </c>
      <c r="AF21" s="49">
        <f t="shared" si="17"/>
        <v>3.3334273874003451E-2</v>
      </c>
      <c r="AG21" s="49">
        <f t="shared" si="17"/>
        <v>8.8162847587678339E-3</v>
      </c>
      <c r="AH21" s="49">
        <f t="shared" ref="AH21:AW21" si="18">IF(2-AH20&gt;0,IF(((AH14/101.94*AH17*2)*4/AH18)&gt;2-AH20,2-AH20,((AH14/101.94*AH17*2)*4/AH18)),0)</f>
        <v>4.4253371731679536E-3</v>
      </c>
      <c r="AI21" s="49">
        <f t="shared" si="18"/>
        <v>3.3609475162159619E-3</v>
      </c>
      <c r="AJ21" s="49">
        <f t="shared" si="18"/>
        <v>1.0970073876468422E-2</v>
      </c>
      <c r="AK21" s="49">
        <f t="shared" si="18"/>
        <v>2.9951769399820805E-3</v>
      </c>
      <c r="AL21" s="49">
        <f t="shared" si="18"/>
        <v>1.6192938248947852E-2</v>
      </c>
      <c r="AM21" s="49">
        <f t="shared" si="18"/>
        <v>2.4331640365808482E-2</v>
      </c>
      <c r="AN21" s="49">
        <f t="shared" si="18"/>
        <v>3.6632417662160188E-2</v>
      </c>
      <c r="AO21" s="49">
        <f t="shared" si="18"/>
        <v>4.7578888987916956E-2</v>
      </c>
      <c r="AP21" s="49">
        <f t="shared" si="18"/>
        <v>5.1615616347529203E-2</v>
      </c>
      <c r="AQ21" s="49">
        <f t="shared" si="18"/>
        <v>2.0376155616156799E-2</v>
      </c>
      <c r="AR21" s="49">
        <f t="shared" si="18"/>
        <v>1.3788998005264785E-2</v>
      </c>
      <c r="AS21" s="49">
        <f t="shared" si="18"/>
        <v>1.5144342992962745E-2</v>
      </c>
      <c r="AT21" s="49">
        <f t="shared" si="18"/>
        <v>1.4775661219351699E-2</v>
      </c>
      <c r="AU21" s="49">
        <f t="shared" si="18"/>
        <v>2.1776824546103857E-2</v>
      </c>
      <c r="AV21" s="49">
        <f t="shared" si="18"/>
        <v>0.26237902916858191</v>
      </c>
      <c r="AW21" s="49">
        <f t="shared" si="18"/>
        <v>2.8577908321844037E-2</v>
      </c>
      <c r="AX21" s="49">
        <f t="shared" ref="AX21:BE21" si="19">IF(2-AX20&gt;0,IF(((AX14/101.94*AX17*2)*4/AX18)&gt;2-AX20,2-AX20,((AX14/101.94*AX17*2)*4/AX18)),0)</f>
        <v>1.888813997894756E-2</v>
      </c>
      <c r="AY21" s="49">
        <f t="shared" si="19"/>
        <v>4.2374497349941809E-3</v>
      </c>
      <c r="AZ21" s="49">
        <f t="shared" si="19"/>
        <v>0</v>
      </c>
      <c r="BA21" s="49">
        <f t="shared" si="19"/>
        <v>2.6007432322988411E-2</v>
      </c>
      <c r="BB21" s="49">
        <f t="shared" si="19"/>
        <v>8.7737813840822465E-3</v>
      </c>
      <c r="BC21" s="49">
        <f t="shared" si="19"/>
        <v>3.4697471499347543E-3</v>
      </c>
      <c r="BD21" s="49">
        <f t="shared" si="19"/>
        <v>1.0309335900921202E-2</v>
      </c>
      <c r="BE21" s="49">
        <f t="shared" si="19"/>
        <v>3.5354313064925869E-3</v>
      </c>
    </row>
    <row r="22" spans="1:57" s="5" customFormat="1">
      <c r="A22" s="7" t="s">
        <v>234</v>
      </c>
      <c r="B22" s="49">
        <f t="shared" ref="B22:Q22" si="20">((B14/101.94*B17*2)*4/B18)-B21</f>
        <v>0.16585490914529866</v>
      </c>
      <c r="C22" s="49">
        <f t="shared" si="20"/>
        <v>0.46089317109740985</v>
      </c>
      <c r="D22" s="49">
        <f t="shared" si="20"/>
        <v>0.46255816907539565</v>
      </c>
      <c r="E22" s="49">
        <f t="shared" si="20"/>
        <v>0.47095933405441109</v>
      </c>
      <c r="F22" s="49">
        <f t="shared" si="20"/>
        <v>0.45777880331847876</v>
      </c>
      <c r="G22" s="49">
        <f t="shared" si="20"/>
        <v>0.40716301958835177</v>
      </c>
      <c r="H22" s="49">
        <f t="shared" si="20"/>
        <v>0.4192485716025911</v>
      </c>
      <c r="I22" s="49">
        <f t="shared" si="20"/>
        <v>0.39753757877084617</v>
      </c>
      <c r="J22" s="49">
        <f t="shared" si="20"/>
        <v>0.41047859941771131</v>
      </c>
      <c r="K22" s="49">
        <f t="shared" si="20"/>
        <v>0.37865852108162207</v>
      </c>
      <c r="L22" s="49">
        <f t="shared" si="20"/>
        <v>0.48787840589966014</v>
      </c>
      <c r="M22" s="49">
        <f t="shared" si="20"/>
        <v>0.47669639567958483</v>
      </c>
      <c r="N22" s="49">
        <f t="shared" si="20"/>
        <v>0.48877454498809919</v>
      </c>
      <c r="O22" s="49">
        <f t="shared" si="20"/>
        <v>0.48198410123432345</v>
      </c>
      <c r="P22" s="49">
        <f t="shared" si="20"/>
        <v>0.44517420956667109</v>
      </c>
      <c r="Q22" s="49">
        <f t="shared" si="20"/>
        <v>0.47887793112742305</v>
      </c>
      <c r="R22" s="49">
        <f t="shared" ref="R22:AG22" si="21">((R14/101.94*R17*2)*4/R18)-R21</f>
        <v>0.46673677118741641</v>
      </c>
      <c r="S22" s="49">
        <f t="shared" si="21"/>
        <v>0.54696988694505799</v>
      </c>
      <c r="T22" s="49">
        <f t="shared" si="21"/>
        <v>0.54624978836828531</v>
      </c>
      <c r="U22" s="49">
        <f t="shared" si="21"/>
        <v>0.51877451289893473</v>
      </c>
      <c r="V22" s="49">
        <f t="shared" si="21"/>
        <v>0.48039881161047149</v>
      </c>
      <c r="W22" s="49">
        <f t="shared" si="21"/>
        <v>0.3434102747051434</v>
      </c>
      <c r="X22" s="49">
        <f t="shared" si="21"/>
        <v>0.33506195146566436</v>
      </c>
      <c r="Y22" s="49">
        <f t="shared" si="21"/>
        <v>0.37969379177960244</v>
      </c>
      <c r="Z22" s="49">
        <f t="shared" si="21"/>
        <v>0.17259889612496718</v>
      </c>
      <c r="AA22" s="49">
        <f t="shared" si="21"/>
        <v>0.31668653294440946</v>
      </c>
      <c r="AB22" s="49">
        <f t="shared" si="21"/>
        <v>0.35014922066722937</v>
      </c>
      <c r="AC22" s="49">
        <f t="shared" si="21"/>
        <v>0.38877631397205659</v>
      </c>
      <c r="AD22" s="49">
        <f t="shared" si="21"/>
        <v>0.39939551772773091</v>
      </c>
      <c r="AE22" s="49">
        <f t="shared" si="21"/>
        <v>0.40822623202518182</v>
      </c>
      <c r="AF22" s="49">
        <f t="shared" si="21"/>
        <v>0.47505956935038773</v>
      </c>
      <c r="AG22" s="49">
        <f t="shared" si="21"/>
        <v>0.47566118053228812</v>
      </c>
      <c r="AH22" s="49">
        <f t="shared" ref="AH22:AW22" si="22">((AH14/101.94*AH17*2)*4/AH18)-AH21</f>
        <v>0.45878883601130654</v>
      </c>
      <c r="AI22" s="49">
        <f t="shared" si="22"/>
        <v>0.47644073426647165</v>
      </c>
      <c r="AJ22" s="49">
        <f t="shared" si="22"/>
        <v>0.46722705550563087</v>
      </c>
      <c r="AK22" s="49">
        <f t="shared" si="22"/>
        <v>0.45101756511816277</v>
      </c>
      <c r="AL22" s="49">
        <f t="shared" si="22"/>
        <v>0.39335685677164328</v>
      </c>
      <c r="AM22" s="49">
        <f t="shared" si="22"/>
        <v>0.49599760511961377</v>
      </c>
      <c r="AN22" s="49">
        <f t="shared" si="22"/>
        <v>0.49915172225477455</v>
      </c>
      <c r="AO22" s="49">
        <f t="shared" si="22"/>
        <v>0.46350800875006892</v>
      </c>
      <c r="AP22" s="49">
        <f t="shared" si="22"/>
        <v>0.41490560258939413</v>
      </c>
      <c r="AQ22" s="49">
        <f t="shared" si="22"/>
        <v>0.44964106888091343</v>
      </c>
      <c r="AR22" s="49">
        <f t="shared" si="22"/>
        <v>0.45528513446704488</v>
      </c>
      <c r="AS22" s="49">
        <f t="shared" si="22"/>
        <v>0.44951646924285549</v>
      </c>
      <c r="AT22" s="49">
        <f t="shared" si="22"/>
        <v>0.45548173779820289</v>
      </c>
      <c r="AU22" s="49">
        <f t="shared" si="22"/>
        <v>0.49423790925071132</v>
      </c>
      <c r="AV22" s="49">
        <f t="shared" si="22"/>
        <v>1.4480573373810537</v>
      </c>
      <c r="AW22" s="49">
        <f t="shared" si="22"/>
        <v>0.52644065206792567</v>
      </c>
      <c r="AX22" s="49">
        <f t="shared" ref="AX22:BE22" si="23">((AX14/101.94*AX17*2)*4/AX18)-AX21</f>
        <v>0.52214775205024078</v>
      </c>
      <c r="AY22" s="49">
        <f t="shared" si="23"/>
        <v>0.53099884846809009</v>
      </c>
      <c r="AZ22" s="49">
        <f t="shared" si="23"/>
        <v>0.49127691035937299</v>
      </c>
      <c r="BA22" s="49">
        <f t="shared" si="23"/>
        <v>0.4173460249007736</v>
      </c>
      <c r="BB22" s="49">
        <f t="shared" si="23"/>
        <v>0.41949740049260087</v>
      </c>
      <c r="BC22" s="49">
        <f t="shared" si="23"/>
        <v>0.47896361413762351</v>
      </c>
      <c r="BD22" s="49">
        <f t="shared" si="23"/>
        <v>0.48939235439109297</v>
      </c>
      <c r="BE22" s="49">
        <f t="shared" si="23"/>
        <v>0.49602661540060983</v>
      </c>
    </row>
    <row r="23" spans="1:57" s="5" customFormat="1">
      <c r="A23" s="15" t="s">
        <v>20</v>
      </c>
      <c r="B23" s="49">
        <f t="shared" ref="B23:Q23" si="24">(B7/79.9*B17)*4/B18</f>
        <v>6.140469173646074E-3</v>
      </c>
      <c r="C23" s="49">
        <f t="shared" si="24"/>
        <v>3.1477957509094914E-3</v>
      </c>
      <c r="D23" s="49">
        <f t="shared" si="24"/>
        <v>2.1092303278981341E-3</v>
      </c>
      <c r="E23" s="49">
        <f t="shared" si="24"/>
        <v>0</v>
      </c>
      <c r="F23" s="49">
        <f t="shared" si="24"/>
        <v>2.3974841232244941E-3</v>
      </c>
      <c r="G23" s="49">
        <f t="shared" si="24"/>
        <v>2.7072181866380691E-3</v>
      </c>
      <c r="H23" s="49">
        <f t="shared" si="24"/>
        <v>3.2582504315039583E-3</v>
      </c>
      <c r="I23" s="49">
        <f t="shared" si="24"/>
        <v>2.4290211567924978E-3</v>
      </c>
      <c r="J23" s="49">
        <f t="shared" si="24"/>
        <v>2.1912426319846191E-3</v>
      </c>
      <c r="K23" s="49">
        <f t="shared" si="24"/>
        <v>2.9996980370154435E-3</v>
      </c>
      <c r="L23" s="49">
        <f t="shared" si="24"/>
        <v>2.4114516767982045E-3</v>
      </c>
      <c r="M23" s="49">
        <f t="shared" si="24"/>
        <v>1.8841846739546702E-3</v>
      </c>
      <c r="N23" s="49">
        <f t="shared" si="24"/>
        <v>1.882190142986665E-3</v>
      </c>
      <c r="O23" s="49">
        <f t="shared" si="24"/>
        <v>3.2086332414360888E-3</v>
      </c>
      <c r="P23" s="49">
        <f t="shared" si="24"/>
        <v>3.9987108121046595E-3</v>
      </c>
      <c r="Q23" s="49">
        <f t="shared" si="24"/>
        <v>1.8613892728114533E-3</v>
      </c>
      <c r="R23" s="49">
        <f t="shared" ref="R23:AG23" si="25">(R7/79.9*R17)*4/R18</f>
        <v>1.0668330796907131E-3</v>
      </c>
      <c r="S23" s="49">
        <f t="shared" si="25"/>
        <v>3.2104949111722227E-3</v>
      </c>
      <c r="T23" s="49">
        <f t="shared" si="25"/>
        <v>2.399935846635943E-3</v>
      </c>
      <c r="U23" s="49">
        <f t="shared" si="25"/>
        <v>4.2931597593602582E-3</v>
      </c>
      <c r="V23" s="49">
        <f t="shared" si="25"/>
        <v>2.9052084975999702E-3</v>
      </c>
      <c r="W23" s="49">
        <f t="shared" si="25"/>
        <v>5.2006000544115973E-3</v>
      </c>
      <c r="X23" s="49">
        <f t="shared" si="25"/>
        <v>3.3420729860997264E-3</v>
      </c>
      <c r="Y23" s="49">
        <f t="shared" si="25"/>
        <v>2.8243244707015281E-3</v>
      </c>
      <c r="Z23" s="49">
        <f t="shared" si="25"/>
        <v>4.5649109276009667E-3</v>
      </c>
      <c r="AA23" s="49">
        <f t="shared" si="25"/>
        <v>1.8346165235732636E-3</v>
      </c>
      <c r="AB23" s="49">
        <f t="shared" si="25"/>
        <v>2.0675633440132694E-3</v>
      </c>
      <c r="AC23" s="49">
        <f t="shared" si="25"/>
        <v>2.077986753144636E-3</v>
      </c>
      <c r="AD23" s="49">
        <f t="shared" si="25"/>
        <v>1.8213921527225189E-3</v>
      </c>
      <c r="AE23" s="49">
        <f t="shared" si="25"/>
        <v>3.2270099210822667E-3</v>
      </c>
      <c r="AF23" s="49">
        <f t="shared" si="25"/>
        <v>1.8577829418937183E-3</v>
      </c>
      <c r="AG23" s="49">
        <f t="shared" si="25"/>
        <v>2.1481079329948812E-3</v>
      </c>
      <c r="AH23" s="49">
        <f t="shared" ref="AH23:AW23" si="26">(AH7/79.9*AH17)*4/AH18</f>
        <v>1.3407200474738537E-3</v>
      </c>
      <c r="AI23" s="49">
        <f t="shared" si="26"/>
        <v>2.4206381162324197E-3</v>
      </c>
      <c r="AJ23" s="49">
        <f t="shared" si="26"/>
        <v>2.9383356223591835E-3</v>
      </c>
      <c r="AK23" s="49">
        <f t="shared" si="26"/>
        <v>2.6742834663717042E-3</v>
      </c>
      <c r="AL23" s="49">
        <f t="shared" si="26"/>
        <v>8.1305287154324879E-4</v>
      </c>
      <c r="AM23" s="49">
        <f t="shared" si="26"/>
        <v>3.4603735960156245E-3</v>
      </c>
      <c r="AN23" s="49">
        <f t="shared" si="26"/>
        <v>4.7691447352620131E-3</v>
      </c>
      <c r="AO23" s="49">
        <f t="shared" si="26"/>
        <v>3.4543106481937673E-3</v>
      </c>
      <c r="AP23" s="49">
        <f t="shared" si="26"/>
        <v>1.8484741430837444E-3</v>
      </c>
      <c r="AQ23" s="49">
        <f t="shared" si="26"/>
        <v>1.5948644537464162E-3</v>
      </c>
      <c r="AR23" s="49">
        <f t="shared" si="26"/>
        <v>2.1373778412402669E-3</v>
      </c>
      <c r="AS23" s="49">
        <f t="shared" si="26"/>
        <v>3.9948455784791044E-3</v>
      </c>
      <c r="AT23" s="49">
        <f t="shared" si="26"/>
        <v>2.1294603727529649E-3</v>
      </c>
      <c r="AU23" s="49">
        <f t="shared" si="26"/>
        <v>4.0340362618750871E-3</v>
      </c>
      <c r="AV23" s="49">
        <f t="shared" si="26"/>
        <v>3.4487317779593016E-3</v>
      </c>
      <c r="AW23" s="49">
        <f t="shared" si="26"/>
        <v>7.7027040051839942E-3</v>
      </c>
      <c r="AX23" s="49">
        <f t="shared" ref="AX23:BE23" si="27">(AX7/79.9*AX17)*4/AX18</f>
        <v>3.459372330461848E-3</v>
      </c>
      <c r="AY23" s="49">
        <f t="shared" si="27"/>
        <v>2.9388352744679205E-3</v>
      </c>
      <c r="AZ23" s="49">
        <f t="shared" si="27"/>
        <v>2.7133900190191461E-4</v>
      </c>
      <c r="BA23" s="49">
        <f t="shared" si="27"/>
        <v>2.3481788978873077E-3</v>
      </c>
      <c r="BB23" s="49">
        <f t="shared" si="27"/>
        <v>2.9463152904709309E-3</v>
      </c>
      <c r="BC23" s="49">
        <f t="shared" si="27"/>
        <v>2.699605694050331E-3</v>
      </c>
      <c r="BD23" s="49">
        <f t="shared" si="27"/>
        <v>4.3444075373917507E-3</v>
      </c>
      <c r="BE23" s="49">
        <f t="shared" si="27"/>
        <v>2.156898959626861E-3</v>
      </c>
    </row>
    <row r="24" spans="1:57" s="5" customFormat="1">
      <c r="A24" s="15" t="s">
        <v>21</v>
      </c>
      <c r="B24" s="49">
        <f t="shared" ref="B24:Q24" si="28">(B8/152.02*B17*2)*4/B18</f>
        <v>2.9339649506304272E-4</v>
      </c>
      <c r="C24" s="49">
        <f t="shared" si="28"/>
        <v>2.2059279962958235E-3</v>
      </c>
      <c r="D24" s="49">
        <f t="shared" si="28"/>
        <v>1.1085877068744961E-3</v>
      </c>
      <c r="E24" s="49">
        <f t="shared" si="28"/>
        <v>3.6168005160742769E-3</v>
      </c>
      <c r="F24" s="49">
        <f t="shared" si="28"/>
        <v>1.6801208739695398E-3</v>
      </c>
      <c r="G24" s="49">
        <f t="shared" si="28"/>
        <v>0</v>
      </c>
      <c r="H24" s="49">
        <f t="shared" si="28"/>
        <v>0</v>
      </c>
      <c r="I24" s="49">
        <f t="shared" si="28"/>
        <v>0</v>
      </c>
      <c r="J24" s="49">
        <f t="shared" si="28"/>
        <v>8.6376933772976117E-4</v>
      </c>
      <c r="K24" s="49">
        <f t="shared" si="28"/>
        <v>0</v>
      </c>
      <c r="L24" s="49">
        <f t="shared" si="28"/>
        <v>1.9715606467471179E-3</v>
      </c>
      <c r="M24" s="49">
        <f t="shared" si="28"/>
        <v>0</v>
      </c>
      <c r="N24" s="49">
        <f t="shared" si="28"/>
        <v>2.8264512643944316E-4</v>
      </c>
      <c r="O24" s="49">
        <f t="shared" si="28"/>
        <v>1.4053512475921124E-3</v>
      </c>
      <c r="P24" s="49">
        <f t="shared" si="28"/>
        <v>0</v>
      </c>
      <c r="Q24" s="49">
        <f t="shared" si="28"/>
        <v>2.236171975832279E-3</v>
      </c>
      <c r="R24" s="49">
        <f t="shared" ref="R24:AG24" si="29">(R8/152.02*R17*2)*4/R18</f>
        <v>1.4017886308921189E-3</v>
      </c>
      <c r="S24" s="49">
        <f t="shared" si="29"/>
        <v>0</v>
      </c>
      <c r="T24" s="49">
        <f t="shared" si="29"/>
        <v>3.3636780098445268E-3</v>
      </c>
      <c r="U24" s="49">
        <f t="shared" si="29"/>
        <v>0</v>
      </c>
      <c r="V24" s="49">
        <f t="shared" si="29"/>
        <v>1.6657580387143143E-3</v>
      </c>
      <c r="W24" s="49">
        <f t="shared" si="29"/>
        <v>0.10660169602389143</v>
      </c>
      <c r="X24" s="49">
        <f t="shared" si="29"/>
        <v>7.134319445780736E-2</v>
      </c>
      <c r="Y24" s="49">
        <f t="shared" si="29"/>
        <v>4.7231963391879198E-2</v>
      </c>
      <c r="Z24" s="49">
        <f t="shared" si="29"/>
        <v>0.10218049535877233</v>
      </c>
      <c r="AA24" s="49">
        <f t="shared" si="29"/>
        <v>2.9754116761362991E-2</v>
      </c>
      <c r="AB24" s="49">
        <f t="shared" si="29"/>
        <v>4.4010864380079867E-2</v>
      </c>
      <c r="AC24" s="49">
        <f t="shared" si="29"/>
        <v>6.2799570060746903E-3</v>
      </c>
      <c r="AD24" s="49">
        <f t="shared" si="29"/>
        <v>2.4889883292104727E-2</v>
      </c>
      <c r="AE24" s="49">
        <f t="shared" si="29"/>
        <v>2.317976099739814E-2</v>
      </c>
      <c r="AF24" s="49">
        <f t="shared" si="29"/>
        <v>2.2318395257362091E-3</v>
      </c>
      <c r="AG24" s="49">
        <f t="shared" si="29"/>
        <v>4.5160853531454014E-3</v>
      </c>
      <c r="AH24" s="49">
        <f t="shared" ref="AH24:AW24" si="30">(AH8/152.02*AH17*2)*4/AH18</f>
        <v>1.6912016596736363E-3</v>
      </c>
      <c r="AI24" s="49">
        <f t="shared" si="30"/>
        <v>1.9790713186989906E-3</v>
      </c>
      <c r="AJ24" s="49">
        <f t="shared" si="30"/>
        <v>0</v>
      </c>
      <c r="AK24" s="49">
        <f t="shared" si="30"/>
        <v>2.8111465460215648E-3</v>
      </c>
      <c r="AL24" s="49">
        <f t="shared" si="30"/>
        <v>0.12107723933442911</v>
      </c>
      <c r="AM24" s="49">
        <f t="shared" si="30"/>
        <v>2.5182462357127458E-3</v>
      </c>
      <c r="AN24" s="49">
        <f t="shared" si="30"/>
        <v>3.6206571039751009E-3</v>
      </c>
      <c r="AO24" s="49">
        <f t="shared" si="30"/>
        <v>2.7931488851738336E-3</v>
      </c>
      <c r="AP24" s="49">
        <f t="shared" si="30"/>
        <v>2.2206564404291342E-3</v>
      </c>
      <c r="AQ24" s="49">
        <f t="shared" si="30"/>
        <v>1.676485592084445E-3</v>
      </c>
      <c r="AR24" s="49">
        <f t="shared" si="30"/>
        <v>2.8084543072473575E-3</v>
      </c>
      <c r="AS24" s="49">
        <f t="shared" si="30"/>
        <v>2.7995277965222161E-4</v>
      </c>
      <c r="AT24" s="49">
        <f t="shared" si="30"/>
        <v>6.7153223437558954E-3</v>
      </c>
      <c r="AU24" s="49">
        <f t="shared" si="30"/>
        <v>3.1096912428733182E-3</v>
      </c>
      <c r="AV24" s="49">
        <f t="shared" si="30"/>
        <v>1.3943189107655277E-3</v>
      </c>
      <c r="AW24" s="49">
        <f t="shared" si="30"/>
        <v>2.5128338150278823E-3</v>
      </c>
      <c r="AX24" s="49">
        <f t="shared" ref="AX24:BE24" si="31">(AX8/152.02*AX17*2)*4/AX18</f>
        <v>2.7972417516308745E-4</v>
      </c>
      <c r="AY24" s="49">
        <f t="shared" si="31"/>
        <v>0</v>
      </c>
      <c r="AZ24" s="49">
        <f t="shared" si="31"/>
        <v>1.1409017893415589E-3</v>
      </c>
      <c r="BA24" s="49">
        <f t="shared" si="31"/>
        <v>4.9367055371976288E-3</v>
      </c>
      <c r="BB24" s="49">
        <f t="shared" si="31"/>
        <v>2.5339911320013467E-3</v>
      </c>
      <c r="BC24" s="49">
        <f t="shared" si="31"/>
        <v>0</v>
      </c>
      <c r="BD24" s="49">
        <f t="shared" si="31"/>
        <v>5.7084291908564798E-4</v>
      </c>
      <c r="BE24" s="49">
        <f t="shared" si="31"/>
        <v>0</v>
      </c>
    </row>
    <row r="25" spans="1:57" s="5" customFormat="1">
      <c r="A25" s="15" t="s">
        <v>51</v>
      </c>
      <c r="B25" s="49">
        <f t="shared" ref="B25:Q25" si="32">IF(((B10/71.85*B17)*4/B18)&gt;(IF((12*(1-(4/B18)))&gt;0,(12*(1-(4/B18))),0)),(IF((12*(1-(4/B18)))&gt;0,(12*(1-(4/B18))),0)),((B10/71.85*B17)*4/B18))</f>
        <v>1.3780213201059155E-2</v>
      </c>
      <c r="C25" s="49">
        <f t="shared" si="32"/>
        <v>6.1844755641745852E-2</v>
      </c>
      <c r="D25" s="49">
        <f t="shared" si="32"/>
        <v>4.8613345085693815E-2</v>
      </c>
      <c r="E25" s="49">
        <f t="shared" si="32"/>
        <v>4.4613648246096371E-2</v>
      </c>
      <c r="F25" s="49">
        <f t="shared" si="32"/>
        <v>6.5472301406601208E-2</v>
      </c>
      <c r="G25" s="49">
        <f t="shared" si="32"/>
        <v>4.382924356477691E-2</v>
      </c>
      <c r="H25" s="49">
        <f t="shared" si="32"/>
        <v>2.6835832176481667E-2</v>
      </c>
      <c r="I25" s="49">
        <f t="shared" si="32"/>
        <v>8.3788219485602777E-2</v>
      </c>
      <c r="J25" s="49">
        <f t="shared" si="32"/>
        <v>1.8996382317684191E-2</v>
      </c>
      <c r="K25" s="49">
        <f t="shared" si="32"/>
        <v>9.8377394995843304E-2</v>
      </c>
      <c r="L25" s="49">
        <f t="shared" si="32"/>
        <v>3.6475229518069696E-2</v>
      </c>
      <c r="M25" s="49">
        <f t="shared" si="32"/>
        <v>4.8040765515519279E-2</v>
      </c>
      <c r="N25" s="49">
        <f t="shared" si="32"/>
        <v>2.7839770960210064E-2</v>
      </c>
      <c r="O25" s="49">
        <f t="shared" si="32"/>
        <v>5.5285876268632794E-2</v>
      </c>
      <c r="P25" s="49">
        <f t="shared" si="32"/>
        <v>2.2866224844341865E-2</v>
      </c>
      <c r="Q25" s="49">
        <f t="shared" si="32"/>
        <v>5.4987723667544675E-2</v>
      </c>
      <c r="R25" s="49">
        <f t="shared" ref="R25:AG25" si="33">IF(((R10/71.85*R17)*4/R18)&gt;(IF((12*(1-(4/R18)))&gt;0,(12*(1-(4/R18))),0)),(IF((12*(1-(4/R18)))&gt;0,(12*(1-(4/R18))),0)),((R10/71.85*R17)*4/R18))</f>
        <v>8.0628952176167612E-2</v>
      </c>
      <c r="S25" s="49">
        <f t="shared" si="33"/>
        <v>3.7852296726982093E-2</v>
      </c>
      <c r="T25" s="49">
        <f t="shared" si="33"/>
        <v>2.4730827858998161E-2</v>
      </c>
      <c r="U25" s="49">
        <f t="shared" si="33"/>
        <v>7.6657540011072722E-2</v>
      </c>
      <c r="V25" s="49">
        <f t="shared" si="33"/>
        <v>0.10294212835834582</v>
      </c>
      <c r="W25" s="49">
        <f t="shared" si="33"/>
        <v>0</v>
      </c>
      <c r="X25" s="49">
        <f t="shared" si="33"/>
        <v>0</v>
      </c>
      <c r="Y25" s="49">
        <f t="shared" si="33"/>
        <v>0</v>
      </c>
      <c r="Z25" s="49">
        <f t="shared" si="33"/>
        <v>8.1799235575551243E-2</v>
      </c>
      <c r="AA25" s="49">
        <f t="shared" si="33"/>
        <v>8.6269837218644244E-2</v>
      </c>
      <c r="AB25" s="49">
        <f t="shared" si="33"/>
        <v>9.0818834959959377E-2</v>
      </c>
      <c r="AC25" s="49">
        <f t="shared" si="33"/>
        <v>8.1744629551288417E-2</v>
      </c>
      <c r="AD25" s="49">
        <f t="shared" si="33"/>
        <v>2.866572823034863E-2</v>
      </c>
      <c r="AE25" s="49">
        <f t="shared" si="33"/>
        <v>4.1702977783226736E-3</v>
      </c>
      <c r="AF25" s="49">
        <f t="shared" si="33"/>
        <v>5.0903848381591121E-2</v>
      </c>
      <c r="AG25" s="49">
        <f t="shared" si="33"/>
        <v>0</v>
      </c>
      <c r="AH25" s="49">
        <f t="shared" ref="AH25:AW25" si="34">IF(((AH10/71.85*AH17)*4/AH18)&gt;(IF((12*(1-(4/AH18)))&gt;0,(12*(1-(4/AH18))),0)),(IF((12*(1-(4/AH18)))&gt;0,(12*(1-(4/AH18))),0)),((AH10/71.85*AH17)*4/AH18))</f>
        <v>3.0657969880296676E-3</v>
      </c>
      <c r="AI25" s="49">
        <f t="shared" si="34"/>
        <v>0</v>
      </c>
      <c r="AJ25" s="49">
        <f t="shared" si="34"/>
        <v>4.8398687370529547E-2</v>
      </c>
      <c r="AK25" s="49">
        <f t="shared" si="34"/>
        <v>0</v>
      </c>
      <c r="AL25" s="49">
        <f t="shared" si="34"/>
        <v>0</v>
      </c>
      <c r="AM25" s="49">
        <f t="shared" si="34"/>
        <v>1.3456226849791975E-2</v>
      </c>
      <c r="AN25" s="49">
        <f t="shared" si="34"/>
        <v>2.0929618824867102E-2</v>
      </c>
      <c r="AO25" s="49">
        <f t="shared" si="34"/>
        <v>5.573267299156015E-2</v>
      </c>
      <c r="AP25" s="49">
        <f t="shared" si="34"/>
        <v>8.1048396844497397E-2</v>
      </c>
      <c r="AQ25" s="49">
        <f t="shared" si="34"/>
        <v>2.8410393751538976E-3</v>
      </c>
      <c r="AR25" s="49">
        <f t="shared" si="34"/>
        <v>5.1500238702087753E-2</v>
      </c>
      <c r="AS25" s="49">
        <f t="shared" si="34"/>
        <v>0</v>
      </c>
      <c r="AT25" s="49">
        <f t="shared" si="34"/>
        <v>0</v>
      </c>
      <c r="AU25" s="49">
        <f t="shared" si="34"/>
        <v>1.0208454815288093E-3</v>
      </c>
      <c r="AV25" s="49">
        <f t="shared" si="34"/>
        <v>0</v>
      </c>
      <c r="AW25" s="49">
        <f t="shared" si="34"/>
        <v>2.0174129493716553E-2</v>
      </c>
      <c r="AX25" s="49">
        <f t="shared" ref="AX25:BE25" si="35">IF(((AX10/71.85*AX17)*4/AX18)&gt;(IF((12*(1-(4/AX18)))&gt;0,(12*(1-(4/AX18))),0)),(IF((12*(1-(4/AX18)))&gt;0,(12*(1-(4/AX18))),0)),((AX10/71.85*AX17)*4/AX18))</f>
        <v>3.5631635913516924E-2</v>
      </c>
      <c r="AY25" s="49">
        <f t="shared" si="35"/>
        <v>0</v>
      </c>
      <c r="AZ25" s="49">
        <f t="shared" si="35"/>
        <v>3.7278562409900129E-2</v>
      </c>
      <c r="BA25" s="49">
        <f t="shared" si="35"/>
        <v>0.14590628562134267</v>
      </c>
      <c r="BB25" s="49">
        <f t="shared" si="35"/>
        <v>5.7532307361564339E-2</v>
      </c>
      <c r="BC25" s="49">
        <f t="shared" si="35"/>
        <v>5.7099620949972341E-2</v>
      </c>
      <c r="BD25" s="49">
        <f t="shared" si="35"/>
        <v>7.284398441385509E-3</v>
      </c>
      <c r="BE25" s="49">
        <f t="shared" si="35"/>
        <v>5.8584668499981341E-2</v>
      </c>
    </row>
    <row r="26" spans="1:57" s="5" customFormat="1">
      <c r="A26" s="15" t="s">
        <v>52</v>
      </c>
      <c r="B26" s="49">
        <f t="shared" ref="B26:Q26" si="36">IF(((B10/71.85*B17)*4/B18)&gt;B25,((B10/71.85*B17)*4/B18)-B25,0)</f>
        <v>0.34191948697770486</v>
      </c>
      <c r="C26" s="49">
        <f t="shared" si="36"/>
        <v>2.6250444903714421E-2</v>
      </c>
      <c r="D26" s="49">
        <f t="shared" si="36"/>
        <v>4.0517415130928533E-2</v>
      </c>
      <c r="E26" s="49">
        <f t="shared" si="36"/>
        <v>4.5449389290869086E-2</v>
      </c>
      <c r="F26" s="49">
        <f t="shared" si="36"/>
        <v>5.8945501434452832E-2</v>
      </c>
      <c r="G26" s="49">
        <f t="shared" si="36"/>
        <v>0.12897530035520519</v>
      </c>
      <c r="H26" s="49">
        <f t="shared" si="36"/>
        <v>0.15372535695289144</v>
      </c>
      <c r="I26" s="49">
        <f t="shared" si="36"/>
        <v>0.10079146985646506</v>
      </c>
      <c r="J26" s="49">
        <f t="shared" si="36"/>
        <v>0.14913917445885588</v>
      </c>
      <c r="K26" s="49">
        <f t="shared" si="36"/>
        <v>8.054177393304271E-2</v>
      </c>
      <c r="L26" s="49">
        <f t="shared" si="36"/>
        <v>9.9393934594103062E-2</v>
      </c>
      <c r="M26" s="49">
        <f t="shared" si="36"/>
        <v>8.0071055007718911E-2</v>
      </c>
      <c r="N26" s="49">
        <f t="shared" si="36"/>
        <v>9.6249307191143635E-2</v>
      </c>
      <c r="O26" s="49">
        <f t="shared" si="36"/>
        <v>8.5060381800992513E-2</v>
      </c>
      <c r="P26" s="49">
        <f t="shared" si="36"/>
        <v>0.10579227234612759</v>
      </c>
      <c r="Q26" s="49">
        <f t="shared" si="36"/>
        <v>8.1628145382475092E-2</v>
      </c>
      <c r="R26" s="49">
        <f t="shared" ref="R26:AG26" si="37">IF(((R10/71.85*R17)*4/R18)&gt;R25,((R10/71.85*R17)*4/R18)-R25,0)</f>
        <v>3.7117273772730539E-2</v>
      </c>
      <c r="S26" s="49">
        <f t="shared" si="37"/>
        <v>0.10198035857254295</v>
      </c>
      <c r="T26" s="49">
        <f t="shared" si="37"/>
        <v>0.12324053562814286</v>
      </c>
      <c r="U26" s="49">
        <f t="shared" si="37"/>
        <v>7.93978462765218E-2</v>
      </c>
      <c r="V26" s="49">
        <f t="shared" si="37"/>
        <v>5.2719115708037334E-2</v>
      </c>
      <c r="W26" s="49">
        <f t="shared" si="37"/>
        <v>7.8941634521130011E-2</v>
      </c>
      <c r="X26" s="49">
        <f t="shared" si="37"/>
        <v>8.2335110430638653E-2</v>
      </c>
      <c r="Y26" s="49">
        <f t="shared" si="37"/>
        <v>8.023211309387443E-2</v>
      </c>
      <c r="Z26" s="49">
        <f t="shared" si="37"/>
        <v>3.5852845923842913E-2</v>
      </c>
      <c r="AA26" s="49">
        <f t="shared" si="37"/>
        <v>0</v>
      </c>
      <c r="AB26" s="49">
        <f t="shared" si="37"/>
        <v>0</v>
      </c>
      <c r="AC26" s="49">
        <f t="shared" si="37"/>
        <v>0</v>
      </c>
      <c r="AD26" s="49">
        <f t="shared" si="37"/>
        <v>5.0616526154168756E-2</v>
      </c>
      <c r="AE26" s="49">
        <f t="shared" si="37"/>
        <v>4.8162880395572941E-2</v>
      </c>
      <c r="AF26" s="49">
        <f t="shared" si="37"/>
        <v>5.6229224710769632E-2</v>
      </c>
      <c r="AG26" s="49">
        <f t="shared" si="37"/>
        <v>0.10510630827051921</v>
      </c>
      <c r="AH26" s="49">
        <f t="shared" ref="AH26:AW26" si="38">IF(((AH10/71.85*AH17)*4/AH18)&gt;AH25,((AH10/71.85*AH17)*4/AH18)-AH25,0)</f>
        <v>7.9830074517881905E-2</v>
      </c>
      <c r="AI26" s="49">
        <f t="shared" si="38"/>
        <v>0.10498191279042231</v>
      </c>
      <c r="AJ26" s="49">
        <f t="shared" si="38"/>
        <v>4.7251228774131196E-2</v>
      </c>
      <c r="AK26" s="49">
        <f t="shared" si="38"/>
        <v>7.167116910244524E-2</v>
      </c>
      <c r="AL26" s="49">
        <f t="shared" si="38"/>
        <v>9.3729851541132156E-2</v>
      </c>
      <c r="AM26" s="49">
        <f t="shared" si="38"/>
        <v>8.6889606091740956E-2</v>
      </c>
      <c r="AN26" s="49">
        <f t="shared" si="38"/>
        <v>8.1604227299703638E-2</v>
      </c>
      <c r="AO26" s="49">
        <f t="shared" si="38"/>
        <v>4.7096724187560182E-2</v>
      </c>
      <c r="AP26" s="49">
        <f t="shared" si="38"/>
        <v>0</v>
      </c>
      <c r="AQ26" s="49">
        <f t="shared" si="38"/>
        <v>7.0761344743914392E-2</v>
      </c>
      <c r="AR26" s="49">
        <f t="shared" si="38"/>
        <v>5.9914485668408957E-2</v>
      </c>
      <c r="AS26" s="49">
        <f t="shared" si="38"/>
        <v>7.5521207366014878E-2</v>
      </c>
      <c r="AT26" s="49">
        <f t="shared" si="38"/>
        <v>8.376951828562669E-2</v>
      </c>
      <c r="AU26" s="49">
        <f t="shared" si="38"/>
        <v>9.6774075070444263E-2</v>
      </c>
      <c r="AV26" s="49">
        <f t="shared" si="38"/>
        <v>2.0945677964975453E-2</v>
      </c>
      <c r="AW26" s="49">
        <f t="shared" si="38"/>
        <v>0.10683462989778708</v>
      </c>
      <c r="AX26" s="49">
        <f t="shared" ref="AX26:BE26" si="39">IF(((AX10/71.85*AX17)*4/AX18)&gt;AX25,((AX10/71.85*AX17)*4/AX18)-AX25,0)</f>
        <v>9.4277137493166713E-2</v>
      </c>
      <c r="AY26" s="49">
        <f t="shared" si="39"/>
        <v>0.12656457489868339</v>
      </c>
      <c r="AZ26" s="49">
        <f t="shared" si="39"/>
        <v>0.10876337699093608</v>
      </c>
      <c r="BA26" s="49">
        <f t="shared" si="39"/>
        <v>5.7192215513486272E-2</v>
      </c>
      <c r="BB26" s="49">
        <f t="shared" si="39"/>
        <v>0.15126483920356223</v>
      </c>
      <c r="BC26" s="49">
        <f t="shared" si="39"/>
        <v>9.3303922504815867E-2</v>
      </c>
      <c r="BD26" s="49">
        <f t="shared" si="39"/>
        <v>0.13161117795848956</v>
      </c>
      <c r="BE26" s="49">
        <f t="shared" si="39"/>
        <v>9.4623076685664359E-2</v>
      </c>
    </row>
    <row r="27" spans="1:57" s="5" customFormat="1">
      <c r="A27" s="15" t="s">
        <v>24</v>
      </c>
      <c r="B27" s="49">
        <f t="shared" ref="B27:Q27" si="40">(B15/40.32*B17)*4/B18</f>
        <v>0.59347831160200981</v>
      </c>
      <c r="C27" s="49">
        <f t="shared" si="40"/>
        <v>0.43664736197511872</v>
      </c>
      <c r="D27" s="49">
        <f t="shared" si="40"/>
        <v>0.45298036109122586</v>
      </c>
      <c r="E27" s="49">
        <f t="shared" si="40"/>
        <v>0.43846778472529313</v>
      </c>
      <c r="F27" s="49">
        <f t="shared" si="40"/>
        <v>0.42441970095428849</v>
      </c>
      <c r="G27" s="49">
        <f t="shared" si="40"/>
        <v>0.45546730261014901</v>
      </c>
      <c r="H27" s="49">
        <f t="shared" si="40"/>
        <v>0.4293706579918542</v>
      </c>
      <c r="I27" s="49">
        <f t="shared" si="40"/>
        <v>0.45139577579639595</v>
      </c>
      <c r="J27" s="49">
        <f t="shared" si="40"/>
        <v>0.47059340345442746</v>
      </c>
      <c r="K27" s="49">
        <f t="shared" si="40"/>
        <v>0.45825473583511184</v>
      </c>
      <c r="L27" s="49">
        <f t="shared" si="40"/>
        <v>0.40087526641593169</v>
      </c>
      <c r="M27" s="49">
        <f t="shared" si="40"/>
        <v>0.41711752395514778</v>
      </c>
      <c r="N27" s="49">
        <f t="shared" si="40"/>
        <v>0.41028197338069938</v>
      </c>
      <c r="O27" s="49">
        <f t="shared" si="40"/>
        <v>0.390510374597342</v>
      </c>
      <c r="P27" s="49">
        <f t="shared" si="40"/>
        <v>0.45378293278616472</v>
      </c>
      <c r="Q27" s="49">
        <f t="shared" si="40"/>
        <v>0.41049028223234751</v>
      </c>
      <c r="R27" s="49">
        <f t="shared" ref="R27:AG27" si="41">(R15/40.32*R17)*4/R18</f>
        <v>0.42334579871588335</v>
      </c>
      <c r="S27" s="49">
        <f t="shared" si="41"/>
        <v>0.33188783103932196</v>
      </c>
      <c r="T27" s="49">
        <f t="shared" si="41"/>
        <v>0.33607831778271258</v>
      </c>
      <c r="U27" s="49">
        <f t="shared" si="41"/>
        <v>0.34189621752381694</v>
      </c>
      <c r="V27" s="49">
        <f t="shared" si="41"/>
        <v>0.36479061326184076</v>
      </c>
      <c r="W27" s="49">
        <f t="shared" si="41"/>
        <v>0.51374176651096737</v>
      </c>
      <c r="X27" s="49">
        <f t="shared" si="41"/>
        <v>0.54510806967457248</v>
      </c>
      <c r="Y27" s="49">
        <f t="shared" si="41"/>
        <v>0.50574843086624677</v>
      </c>
      <c r="Z27" s="49">
        <f t="shared" si="41"/>
        <v>0.5959744822145705</v>
      </c>
      <c r="AA27" s="49">
        <f t="shared" si="41"/>
        <v>0.57389943154060963</v>
      </c>
      <c r="AB27" s="49">
        <f t="shared" si="41"/>
        <v>0.51829331262679867</v>
      </c>
      <c r="AC27" s="49">
        <f t="shared" si="41"/>
        <v>0.53789230824401024</v>
      </c>
      <c r="AD27" s="49">
        <f t="shared" si="41"/>
        <v>0.5243878612654912</v>
      </c>
      <c r="AE27" s="49">
        <f t="shared" si="41"/>
        <v>0.54142588909057687</v>
      </c>
      <c r="AF27" s="49">
        <f t="shared" si="41"/>
        <v>0.43756896638208737</v>
      </c>
      <c r="AG27" s="49">
        <f t="shared" si="41"/>
        <v>0.44536678620828857</v>
      </c>
      <c r="AH27" s="49">
        <f t="shared" ref="AH27:AW27" si="42">(AH15/40.32*AH17)*4/AH18</f>
        <v>0.48460645335001362</v>
      </c>
      <c r="AI27" s="49">
        <f t="shared" si="42"/>
        <v>0.4418431684543056</v>
      </c>
      <c r="AJ27" s="49">
        <f t="shared" si="42"/>
        <v>0.44305784312224805</v>
      </c>
      <c r="AK27" s="49">
        <f t="shared" si="42"/>
        <v>0.49815162208659031</v>
      </c>
      <c r="AL27" s="49">
        <f t="shared" si="42"/>
        <v>0.42105599171679547</v>
      </c>
      <c r="AM27" s="49">
        <f t="shared" si="42"/>
        <v>0.43569837523977717</v>
      </c>
      <c r="AN27" s="49">
        <f t="shared" si="42"/>
        <v>0.42738439260749006</v>
      </c>
      <c r="AO27" s="49">
        <f t="shared" si="42"/>
        <v>0.45599721154748674</v>
      </c>
      <c r="AP27" s="49">
        <f t="shared" si="42"/>
        <v>0.50811360755191282</v>
      </c>
      <c r="AQ27" s="49">
        <f t="shared" si="42"/>
        <v>0.51199420923618211</v>
      </c>
      <c r="AR27" s="49">
        <f t="shared" si="42"/>
        <v>0.45055429246449602</v>
      </c>
      <c r="AS27" s="49">
        <f t="shared" si="42"/>
        <v>0.50717563395069742</v>
      </c>
      <c r="AT27" s="49">
        <f t="shared" si="42"/>
        <v>0.4974134499235276</v>
      </c>
      <c r="AU27" s="49">
        <f t="shared" si="42"/>
        <v>0.43327670523192008</v>
      </c>
      <c r="AV27" s="49">
        <f t="shared" si="42"/>
        <v>1.6822568318617108E-2</v>
      </c>
      <c r="AW27" s="49">
        <f t="shared" si="42"/>
        <v>0.36581058836195773</v>
      </c>
      <c r="AX27" s="49">
        <f t="shared" ref="AX27:BE27" si="43">(AX15/40.32*AX17)*4/AX18</f>
        <v>0.37176570835002798</v>
      </c>
      <c r="AY27" s="49">
        <f t="shared" si="43"/>
        <v>0.38807242935872194</v>
      </c>
      <c r="AZ27" s="49">
        <f t="shared" si="43"/>
        <v>0.38714261164219604</v>
      </c>
      <c r="BA27" s="49">
        <f t="shared" si="43"/>
        <v>0.3991464101703131</v>
      </c>
      <c r="BB27" s="49">
        <f t="shared" si="43"/>
        <v>0.4182529452254653</v>
      </c>
      <c r="BC27" s="49">
        <f t="shared" si="43"/>
        <v>0.39694514696510191</v>
      </c>
      <c r="BD27" s="49">
        <f t="shared" si="43"/>
        <v>0.39978421773086781</v>
      </c>
      <c r="BE27" s="49">
        <f t="shared" si="43"/>
        <v>0.37506210089806141</v>
      </c>
    </row>
    <row r="28" spans="1:57" s="5" customFormat="1">
      <c r="A28" s="15" t="s">
        <v>25</v>
      </c>
      <c r="B28" s="49">
        <f t="shared" ref="B28:Q28" si="44">(B11/74.71*B17)*4/B18</f>
        <v>1.1940070989019879E-3</v>
      </c>
      <c r="C28" s="49">
        <f t="shared" si="44"/>
        <v>0</v>
      </c>
      <c r="D28" s="49">
        <f t="shared" si="44"/>
        <v>0</v>
      </c>
      <c r="E28" s="49">
        <f t="shared" si="44"/>
        <v>0</v>
      </c>
      <c r="F28" s="49">
        <f t="shared" si="44"/>
        <v>0</v>
      </c>
      <c r="G28" s="49">
        <f t="shared" si="44"/>
        <v>0</v>
      </c>
      <c r="H28" s="49">
        <f t="shared" si="44"/>
        <v>0</v>
      </c>
      <c r="I28" s="49">
        <f t="shared" si="44"/>
        <v>8.6592062833052504E-4</v>
      </c>
      <c r="J28" s="49">
        <f t="shared" si="44"/>
        <v>0</v>
      </c>
      <c r="K28" s="49">
        <f t="shared" si="44"/>
        <v>1.1665755985326729E-3</v>
      </c>
      <c r="L28" s="49">
        <f t="shared" si="44"/>
        <v>0</v>
      </c>
      <c r="M28" s="49">
        <f t="shared" si="44"/>
        <v>0</v>
      </c>
      <c r="N28" s="49">
        <f t="shared" si="44"/>
        <v>0</v>
      </c>
      <c r="O28" s="49">
        <f t="shared" si="44"/>
        <v>0</v>
      </c>
      <c r="P28" s="49">
        <f t="shared" si="44"/>
        <v>0</v>
      </c>
      <c r="Q28" s="49">
        <f t="shared" si="44"/>
        <v>0</v>
      </c>
      <c r="R28" s="49">
        <f t="shared" ref="R28:AG28" si="45">(R11/74.71*R17)*4/R18</f>
        <v>0</v>
      </c>
      <c r="S28" s="49">
        <f t="shared" si="45"/>
        <v>0</v>
      </c>
      <c r="T28" s="49">
        <f t="shared" si="45"/>
        <v>1.7111040391398907E-3</v>
      </c>
      <c r="U28" s="49">
        <f t="shared" si="45"/>
        <v>5.7392495109905744E-4</v>
      </c>
      <c r="V28" s="49">
        <f t="shared" si="45"/>
        <v>2.8245720903644111E-4</v>
      </c>
      <c r="W28" s="49">
        <f t="shared" si="45"/>
        <v>0</v>
      </c>
      <c r="X28" s="49">
        <f t="shared" si="45"/>
        <v>2.7494170442569546E-4</v>
      </c>
      <c r="Y28" s="49">
        <f t="shared" si="45"/>
        <v>8.2377991947914524E-4</v>
      </c>
      <c r="Z28" s="49">
        <f t="shared" si="45"/>
        <v>0</v>
      </c>
      <c r="AA28" s="49">
        <f t="shared" si="45"/>
        <v>8.40884908695549E-4</v>
      </c>
      <c r="AB28" s="49">
        <f t="shared" si="45"/>
        <v>1.1055970498371054E-3</v>
      </c>
      <c r="AC28" s="49">
        <f t="shared" si="45"/>
        <v>8.3337810321370848E-4</v>
      </c>
      <c r="AD28" s="49">
        <f t="shared" si="45"/>
        <v>5.5654906783383093E-4</v>
      </c>
      <c r="AE28" s="49">
        <f t="shared" si="45"/>
        <v>0</v>
      </c>
      <c r="AF28" s="49">
        <f t="shared" si="45"/>
        <v>0</v>
      </c>
      <c r="AG28" s="49">
        <f t="shared" si="45"/>
        <v>0</v>
      </c>
      <c r="AH28" s="49">
        <f t="shared" ref="AH28:AW28" si="46">(AH11/74.71*AH17)*4/AH18</f>
        <v>0</v>
      </c>
      <c r="AI28" s="49">
        <f t="shared" si="46"/>
        <v>0</v>
      </c>
      <c r="AJ28" s="49">
        <f t="shared" si="46"/>
        <v>0</v>
      </c>
      <c r="AK28" s="49">
        <f t="shared" si="46"/>
        <v>0</v>
      </c>
      <c r="AL28" s="49">
        <f t="shared" si="46"/>
        <v>0</v>
      </c>
      <c r="AM28" s="49">
        <f t="shared" si="46"/>
        <v>5.6934783794085537E-4</v>
      </c>
      <c r="AN28" s="49">
        <f t="shared" si="46"/>
        <v>1.4167918334130301E-3</v>
      </c>
      <c r="AO28" s="49">
        <f t="shared" si="46"/>
        <v>1.7050508373341968E-3</v>
      </c>
      <c r="AP28" s="49">
        <f t="shared" si="46"/>
        <v>5.6482430744551773E-4</v>
      </c>
      <c r="AQ28" s="49">
        <f t="shared" si="46"/>
        <v>0</v>
      </c>
      <c r="AR28" s="49">
        <f t="shared" si="46"/>
        <v>0</v>
      </c>
      <c r="AS28" s="49">
        <f t="shared" si="46"/>
        <v>3.9875378254465967E-3</v>
      </c>
      <c r="AT28" s="49">
        <f t="shared" si="46"/>
        <v>8.5402163590698305E-4</v>
      </c>
      <c r="AU28" s="49">
        <f t="shared" si="46"/>
        <v>2.0133284087509363E-3</v>
      </c>
      <c r="AV28" s="49">
        <f t="shared" si="46"/>
        <v>0</v>
      </c>
      <c r="AW28" s="49">
        <f t="shared" si="46"/>
        <v>1.2498731278472095E-2</v>
      </c>
      <c r="AX28" s="49">
        <f t="shared" ref="AX28:BE28" si="47">(AX11/74.71*AX17)*4/AX18</f>
        <v>0</v>
      </c>
      <c r="AY28" s="49">
        <f t="shared" si="47"/>
        <v>0</v>
      </c>
      <c r="AZ28" s="49">
        <f t="shared" si="47"/>
        <v>5.8037709147270721E-4</v>
      </c>
      <c r="BA28" s="49">
        <f t="shared" si="47"/>
        <v>2.7903373628578043E-4</v>
      </c>
      <c r="BB28" s="49">
        <f t="shared" si="47"/>
        <v>5.729075862027169E-4</v>
      </c>
      <c r="BC28" s="49">
        <f t="shared" si="47"/>
        <v>2.5984291990250206E-3</v>
      </c>
      <c r="BD28" s="49">
        <f t="shared" si="47"/>
        <v>1.7423278120613081E-3</v>
      </c>
      <c r="BE28" s="49">
        <f t="shared" si="47"/>
        <v>0</v>
      </c>
    </row>
    <row r="29" spans="1:57" s="5" customFormat="1">
      <c r="A29" s="15" t="s">
        <v>23</v>
      </c>
      <c r="B29" s="49">
        <f t="shared" ref="B29:Q29" si="48">(B9/70.94*B17)*4/B18</f>
        <v>5.0298432680556818E-3</v>
      </c>
      <c r="C29" s="49">
        <f t="shared" si="48"/>
        <v>1.6840529776768035E-2</v>
      </c>
      <c r="D29" s="49">
        <f t="shared" si="48"/>
        <v>1.4847714899832688E-3</v>
      </c>
      <c r="E29" s="49">
        <f t="shared" si="48"/>
        <v>5.9619831976492768E-4</v>
      </c>
      <c r="F29" s="49">
        <f t="shared" si="48"/>
        <v>1.8001971755064099E-3</v>
      </c>
      <c r="G29" s="49">
        <f t="shared" si="48"/>
        <v>9.1474513580088129E-4</v>
      </c>
      <c r="H29" s="49">
        <f t="shared" si="48"/>
        <v>6.1163003824162747E-4</v>
      </c>
      <c r="I29" s="49">
        <f t="shared" si="48"/>
        <v>2.4318364868930937E-3</v>
      </c>
      <c r="J29" s="49">
        <f t="shared" si="48"/>
        <v>6.170012908640086E-4</v>
      </c>
      <c r="K29" s="49">
        <f t="shared" si="48"/>
        <v>1.8428572659932899E-3</v>
      </c>
      <c r="L29" s="49">
        <f t="shared" si="48"/>
        <v>6.0356166079684407E-4</v>
      </c>
      <c r="M29" s="49">
        <f t="shared" si="48"/>
        <v>1.8189982131657917E-3</v>
      </c>
      <c r="N29" s="49">
        <f t="shared" si="48"/>
        <v>0</v>
      </c>
      <c r="O29" s="49">
        <f t="shared" si="48"/>
        <v>2.7104221453771869E-3</v>
      </c>
      <c r="P29" s="49">
        <f t="shared" si="48"/>
        <v>6.0050182104531965E-4</v>
      </c>
      <c r="Q29" s="49">
        <f t="shared" si="48"/>
        <v>1.7969914563329388E-3</v>
      </c>
      <c r="R29" s="49">
        <f t="shared" ref="R29:AG29" si="49">(R9/70.94*R17)*4/R18</f>
        <v>3.0039456959151387E-4</v>
      </c>
      <c r="S29" s="49">
        <f t="shared" si="49"/>
        <v>0</v>
      </c>
      <c r="T29" s="49">
        <f t="shared" si="49"/>
        <v>9.0101904964858502E-4</v>
      </c>
      <c r="U29" s="49">
        <f t="shared" si="49"/>
        <v>1.5110633315693043E-3</v>
      </c>
      <c r="V29" s="49">
        <f t="shared" si="49"/>
        <v>0</v>
      </c>
      <c r="W29" s="49">
        <f t="shared" si="49"/>
        <v>5.8574562214193198E-4</v>
      </c>
      <c r="X29" s="49">
        <f t="shared" si="49"/>
        <v>0</v>
      </c>
      <c r="Y29" s="49">
        <f t="shared" si="49"/>
        <v>1.1567446252097912E-3</v>
      </c>
      <c r="Z29" s="49">
        <f t="shared" si="49"/>
        <v>0</v>
      </c>
      <c r="AA29" s="49">
        <f t="shared" si="49"/>
        <v>8.855724771446923E-4</v>
      </c>
      <c r="AB29" s="49">
        <f t="shared" si="49"/>
        <v>1.4554404354618364E-3</v>
      </c>
      <c r="AC29" s="49">
        <f t="shared" si="49"/>
        <v>2.9255557791136249E-4</v>
      </c>
      <c r="AD29" s="49">
        <f t="shared" si="49"/>
        <v>2.9306301704162324E-3</v>
      </c>
      <c r="AE29" s="49">
        <f t="shared" si="49"/>
        <v>3.0288282667802966E-4</v>
      </c>
      <c r="AF29" s="49">
        <f t="shared" si="49"/>
        <v>0</v>
      </c>
      <c r="AG29" s="49">
        <f t="shared" si="49"/>
        <v>9.0728339360528795E-4</v>
      </c>
      <c r="AH29" s="49">
        <f t="shared" ref="AH29:AW29" si="50">(AH9/70.94*AH17)*4/AH18</f>
        <v>0</v>
      </c>
      <c r="AI29" s="49">
        <f t="shared" si="50"/>
        <v>0</v>
      </c>
      <c r="AJ29" s="49">
        <f t="shared" si="50"/>
        <v>3.0085990238421558E-4</v>
      </c>
      <c r="AK29" s="49">
        <f t="shared" si="50"/>
        <v>1.5060279740844319E-3</v>
      </c>
      <c r="AL29" s="49">
        <f t="shared" si="50"/>
        <v>1.8314892708290267E-3</v>
      </c>
      <c r="AM29" s="49">
        <f t="shared" si="50"/>
        <v>0</v>
      </c>
      <c r="AN29" s="49">
        <f t="shared" si="50"/>
        <v>2.0889191573724621E-3</v>
      </c>
      <c r="AO29" s="49">
        <f t="shared" si="50"/>
        <v>1.4963860076266076E-3</v>
      </c>
      <c r="AP29" s="49">
        <f t="shared" si="50"/>
        <v>9.2200362580130632E-3</v>
      </c>
      <c r="AQ29" s="49">
        <f t="shared" si="50"/>
        <v>0</v>
      </c>
      <c r="AR29" s="49">
        <f t="shared" si="50"/>
        <v>0</v>
      </c>
      <c r="AS29" s="49">
        <f t="shared" si="50"/>
        <v>1.7997640920241361E-3</v>
      </c>
      <c r="AT29" s="49">
        <f t="shared" si="50"/>
        <v>2.9980244534635235E-4</v>
      </c>
      <c r="AU29" s="49">
        <f t="shared" si="50"/>
        <v>0</v>
      </c>
      <c r="AV29" s="49">
        <f t="shared" si="50"/>
        <v>1.3744517335030274E-2</v>
      </c>
      <c r="AW29" s="49">
        <f t="shared" si="50"/>
        <v>2.3932650224636706E-3</v>
      </c>
      <c r="AX29" s="49">
        <f t="shared" ref="AX29:BE29" si="51">(AX9/70.94*AX17)*4/AX18</f>
        <v>2.0980101759095573E-3</v>
      </c>
      <c r="AY29" s="49">
        <f t="shared" si="51"/>
        <v>0</v>
      </c>
      <c r="AZ29" s="49">
        <f t="shared" si="51"/>
        <v>2.4448814493332935E-3</v>
      </c>
      <c r="BA29" s="49">
        <f t="shared" si="51"/>
        <v>2.9386256608275522E-3</v>
      </c>
      <c r="BB29" s="49">
        <f t="shared" si="51"/>
        <v>3.6201234083906102E-3</v>
      </c>
      <c r="BC29" s="49">
        <f t="shared" si="51"/>
        <v>0</v>
      </c>
      <c r="BD29" s="49">
        <f t="shared" si="51"/>
        <v>0</v>
      </c>
      <c r="BE29" s="49">
        <f t="shared" si="51"/>
        <v>6.0733093767333731E-4</v>
      </c>
    </row>
    <row r="30" spans="1:57" s="5" customFormat="1">
      <c r="A30" s="15" t="s">
        <v>26</v>
      </c>
      <c r="B30" s="49">
        <f t="shared" ref="B30:Q30" si="52">(B6/56.08*B17)*4/B18</f>
        <v>0.75357566124395248</v>
      </c>
      <c r="C30" s="49">
        <f t="shared" si="52"/>
        <v>0.48361342630168636</v>
      </c>
      <c r="D30" s="49">
        <f t="shared" si="52"/>
        <v>0.4905869275543277</v>
      </c>
      <c r="E30" s="49">
        <f t="shared" si="52"/>
        <v>0.48908450890646216</v>
      </c>
      <c r="F30" s="49">
        <f t="shared" si="52"/>
        <v>0.48732313396774052</v>
      </c>
      <c r="G30" s="49">
        <f t="shared" si="52"/>
        <v>0.51029566317346842</v>
      </c>
      <c r="H30" s="49">
        <f t="shared" si="52"/>
        <v>0.51180182943754615</v>
      </c>
      <c r="I30" s="49">
        <f t="shared" si="52"/>
        <v>0.49757876607519108</v>
      </c>
      <c r="J30" s="49">
        <f t="shared" si="52"/>
        <v>0.50849146987145399</v>
      </c>
      <c r="K30" s="49">
        <f t="shared" si="52"/>
        <v>0.52257173096369336</v>
      </c>
      <c r="L30" s="49">
        <f t="shared" si="52"/>
        <v>0.45160586455622298</v>
      </c>
      <c r="M30" s="49">
        <f t="shared" si="52"/>
        <v>0.45482977777279421</v>
      </c>
      <c r="N30" s="49">
        <f t="shared" si="52"/>
        <v>0.46009470629199639</v>
      </c>
      <c r="O30" s="49">
        <f t="shared" si="52"/>
        <v>0.4586739692891928</v>
      </c>
      <c r="P30" s="49">
        <f t="shared" si="52"/>
        <v>0.50248992262567249</v>
      </c>
      <c r="Q30" s="49">
        <f t="shared" si="52"/>
        <v>0.45463114804657162</v>
      </c>
      <c r="R30" s="49">
        <f t="shared" ref="R30:AG30" si="53">(R6/56.08*R17)*4/R18</f>
        <v>0.47347090755100224</v>
      </c>
      <c r="S30" s="49">
        <f t="shared" si="53"/>
        <v>0.41319855719282583</v>
      </c>
      <c r="T30" s="49">
        <f t="shared" si="53"/>
        <v>0.40651790168102453</v>
      </c>
      <c r="U30" s="49">
        <f t="shared" si="53"/>
        <v>0.4105822052938638</v>
      </c>
      <c r="V30" s="49">
        <f t="shared" si="53"/>
        <v>0.43687341225281062</v>
      </c>
      <c r="W30" s="49">
        <f t="shared" si="53"/>
        <v>0.5457138570112765</v>
      </c>
      <c r="X30" s="49">
        <f t="shared" si="53"/>
        <v>0.58055132238169171</v>
      </c>
      <c r="Y30" s="49">
        <f t="shared" si="53"/>
        <v>0.56591472166126899</v>
      </c>
      <c r="Z30" s="49">
        <f t="shared" si="53"/>
        <v>0.69897349579559098</v>
      </c>
      <c r="AA30" s="49">
        <f t="shared" si="53"/>
        <v>0.57878562095458241</v>
      </c>
      <c r="AB30" s="49">
        <f t="shared" si="53"/>
        <v>0.52434556689061207</v>
      </c>
      <c r="AC30" s="49">
        <f t="shared" si="53"/>
        <v>0.5628864263941824</v>
      </c>
      <c r="AD30" s="49">
        <f t="shared" si="53"/>
        <v>0.53494671699268825</v>
      </c>
      <c r="AE30" s="49">
        <f t="shared" si="53"/>
        <v>0.55440400637319098</v>
      </c>
      <c r="AF30" s="49">
        <f t="shared" si="53"/>
        <v>0.47757221944003497</v>
      </c>
      <c r="AG30" s="49">
        <f t="shared" si="53"/>
        <v>0.50039461838210741</v>
      </c>
      <c r="AH30" s="49">
        <f t="shared" ref="AH30:AW30" si="54">(AH6/56.08*AH17)*4/AH18</f>
        <v>0.5088749798448301</v>
      </c>
      <c r="AI30" s="49">
        <f t="shared" si="54"/>
        <v>0.50774073896464511</v>
      </c>
      <c r="AJ30" s="49">
        <f t="shared" si="54"/>
        <v>0.48029364945830866</v>
      </c>
      <c r="AK30" s="49">
        <f t="shared" si="54"/>
        <v>0.53228302924652204</v>
      </c>
      <c r="AL30" s="49">
        <f t="shared" si="54"/>
        <v>0.4753290536203767</v>
      </c>
      <c r="AM30" s="49">
        <f t="shared" si="54"/>
        <v>0.46684903399806493</v>
      </c>
      <c r="AN30" s="49">
        <f t="shared" si="54"/>
        <v>0.46242665619116319</v>
      </c>
      <c r="AO30" s="49">
        <f t="shared" si="54"/>
        <v>0.4868529232097239</v>
      </c>
      <c r="AP30" s="49">
        <f t="shared" si="54"/>
        <v>0.52371299412341699</v>
      </c>
      <c r="AQ30" s="49">
        <f t="shared" si="54"/>
        <v>0.52451882057851607</v>
      </c>
      <c r="AR30" s="49">
        <f t="shared" si="54"/>
        <v>0.47772043139587905</v>
      </c>
      <c r="AS30" s="49">
        <f t="shared" si="54"/>
        <v>0.52173528574139405</v>
      </c>
      <c r="AT30" s="49">
        <f t="shared" si="54"/>
        <v>0.5081865287740035</v>
      </c>
      <c r="AU30" s="49">
        <f t="shared" si="54"/>
        <v>0.48087371509913635</v>
      </c>
      <c r="AV30" s="49">
        <f t="shared" si="54"/>
        <v>1.7386520323592145E-2</v>
      </c>
      <c r="AW30" s="49">
        <f t="shared" si="54"/>
        <v>0.41967735099227038</v>
      </c>
      <c r="AX30" s="49">
        <f t="shared" ref="AX30:BE30" si="55">(AX6/56.08*AX17)*4/AX18</f>
        <v>0.42425094269061503</v>
      </c>
      <c r="AY30" s="49">
        <f t="shared" si="55"/>
        <v>0.43964619356541768</v>
      </c>
      <c r="AZ30" s="49">
        <f t="shared" si="55"/>
        <v>0.42718232539976986</v>
      </c>
      <c r="BA30" s="49">
        <f t="shared" si="55"/>
        <v>0.42302857842978475</v>
      </c>
      <c r="BB30" s="49">
        <f t="shared" si="55"/>
        <v>0.46709662211671626</v>
      </c>
      <c r="BC30" s="49">
        <f t="shared" si="55"/>
        <v>0.43039696122364723</v>
      </c>
      <c r="BD30" s="49">
        <f t="shared" si="55"/>
        <v>0.46964319828420065</v>
      </c>
      <c r="BE30" s="49">
        <f t="shared" si="55"/>
        <v>0.41754965810502936</v>
      </c>
    </row>
    <row r="31" spans="1:57" s="5" customFormat="1">
      <c r="A31" s="15" t="s">
        <v>27</v>
      </c>
      <c r="B31" s="49">
        <f t="shared" ref="B31:Q31" si="56">(B12/61.982*B17*2)*4/B18</f>
        <v>0.11873370179430834</v>
      </c>
      <c r="C31" s="49">
        <f t="shared" si="56"/>
        <v>0.50722161372993035</v>
      </c>
      <c r="D31" s="49">
        <f t="shared" si="56"/>
        <v>0.49825215322558025</v>
      </c>
      <c r="E31" s="49">
        <f t="shared" si="56"/>
        <v>0.50631436760123882</v>
      </c>
      <c r="F31" s="49">
        <f t="shared" si="56"/>
        <v>0.49792327359587146</v>
      </c>
      <c r="G31" s="49">
        <f t="shared" si="56"/>
        <v>0.45018825742146501</v>
      </c>
      <c r="H31" s="49">
        <f t="shared" si="56"/>
        <v>0.45291706606145493</v>
      </c>
      <c r="I31" s="49">
        <f t="shared" si="56"/>
        <v>0.46272357076582876</v>
      </c>
      <c r="J31" s="49">
        <f t="shared" si="56"/>
        <v>0.43500313138520774</v>
      </c>
      <c r="K31" s="49">
        <f t="shared" si="56"/>
        <v>0.4555867122891456</v>
      </c>
      <c r="L31" s="49">
        <f t="shared" si="56"/>
        <v>0.51878472503167083</v>
      </c>
      <c r="M31" s="49">
        <f t="shared" si="56"/>
        <v>0.51908468299937616</v>
      </c>
      <c r="N31" s="49">
        <f t="shared" si="56"/>
        <v>0.51368259626829083</v>
      </c>
      <c r="O31" s="49">
        <f t="shared" si="56"/>
        <v>0.52116089017511025</v>
      </c>
      <c r="P31" s="49">
        <f t="shared" si="56"/>
        <v>0.46529522519787225</v>
      </c>
      <c r="Q31" s="49">
        <f t="shared" si="56"/>
        <v>0.51349021683866147</v>
      </c>
      <c r="R31" s="49">
        <f t="shared" ref="R31:AG31" si="57">(R12/61.982*R17*2)*4/R18</f>
        <v>0.51502639748151635</v>
      </c>
      <c r="S31" s="49">
        <f t="shared" si="57"/>
        <v>0.56353901121824002</v>
      </c>
      <c r="T31" s="49">
        <f t="shared" si="57"/>
        <v>0.5548068917355683</v>
      </c>
      <c r="U31" s="49">
        <f t="shared" si="57"/>
        <v>0.56449281092630499</v>
      </c>
      <c r="V31" s="49">
        <f t="shared" si="57"/>
        <v>0.55563036104300634</v>
      </c>
      <c r="W31" s="49">
        <f t="shared" si="57"/>
        <v>0.40492220061611744</v>
      </c>
      <c r="X31" s="49">
        <f t="shared" si="57"/>
        <v>0.38111111206947595</v>
      </c>
      <c r="Y31" s="49">
        <f t="shared" si="57"/>
        <v>0.4163741301917383</v>
      </c>
      <c r="Z31" s="49">
        <f t="shared" si="57"/>
        <v>0.3066890723874019</v>
      </c>
      <c r="AA31" s="49">
        <f t="shared" si="57"/>
        <v>0.41015417914757185</v>
      </c>
      <c r="AB31" s="49">
        <f t="shared" si="57"/>
        <v>0.46775359964600816</v>
      </c>
      <c r="AC31" s="49">
        <f t="shared" si="57"/>
        <v>0.41921644439811767</v>
      </c>
      <c r="AD31" s="49">
        <f t="shared" si="57"/>
        <v>0.43134779599895967</v>
      </c>
      <c r="AE31" s="49">
        <f t="shared" si="57"/>
        <v>0.41598866234466964</v>
      </c>
      <c r="AF31" s="49">
        <f t="shared" si="57"/>
        <v>0.49812633132070738</v>
      </c>
      <c r="AG31" s="49">
        <f t="shared" si="57"/>
        <v>0.46589962992705086</v>
      </c>
      <c r="AH31" s="49">
        <f t="shared" ref="AH31:AW31" si="58">(AH12/61.982*AH17*2)*4/AH18</f>
        <v>0.46180193758079113</v>
      </c>
      <c r="AI31" s="49">
        <f t="shared" si="58"/>
        <v>0.46459373608922355</v>
      </c>
      <c r="AJ31" s="49">
        <f t="shared" si="58"/>
        <v>0.50962605568070818</v>
      </c>
      <c r="AK31" s="49">
        <f t="shared" si="58"/>
        <v>0.43988515645980214</v>
      </c>
      <c r="AL31" s="49">
        <f t="shared" si="58"/>
        <v>0.4905077060467718</v>
      </c>
      <c r="AM31" s="49">
        <f t="shared" si="58"/>
        <v>0.4941096353819518</v>
      </c>
      <c r="AN31" s="49">
        <f t="shared" si="58"/>
        <v>0.4966078699919782</v>
      </c>
      <c r="AO31" s="49">
        <f t="shared" si="58"/>
        <v>0.48091280444957663</v>
      </c>
      <c r="AP31" s="49">
        <f t="shared" si="58"/>
        <v>0.45478171143528912</v>
      </c>
      <c r="AQ31" s="49">
        <f t="shared" si="58"/>
        <v>0.43516849169923016</v>
      </c>
      <c r="AR31" s="49">
        <f t="shared" si="58"/>
        <v>0.50007958515359563</v>
      </c>
      <c r="AS31" s="49">
        <f t="shared" si="58"/>
        <v>0.43463393967939978</v>
      </c>
      <c r="AT31" s="49">
        <f t="shared" si="58"/>
        <v>0.44469860883546558</v>
      </c>
      <c r="AU31" s="49">
        <f t="shared" si="58"/>
        <v>0.4846596939527601</v>
      </c>
      <c r="AV31" s="49">
        <f t="shared" si="58"/>
        <v>0.41789624232101474</v>
      </c>
      <c r="AW31" s="49">
        <f t="shared" si="58"/>
        <v>0.53550453592322733</v>
      </c>
      <c r="AX31" s="49">
        <f t="shared" ref="AX31:BE31" si="59">(AX12/61.982*AX17*2)*4/AX18</f>
        <v>0.54473545984292704</v>
      </c>
      <c r="AY31" s="49">
        <f t="shared" si="59"/>
        <v>0.51177911843461954</v>
      </c>
      <c r="AZ31" s="49">
        <f t="shared" si="59"/>
        <v>0.53935882676465607</v>
      </c>
      <c r="BA31" s="49">
        <f t="shared" si="59"/>
        <v>0.54687794153210167</v>
      </c>
      <c r="BB31" s="49">
        <f t="shared" si="59"/>
        <v>0.4744106837581204</v>
      </c>
      <c r="BC31" s="49">
        <f t="shared" si="59"/>
        <v>0.53661882356172153</v>
      </c>
      <c r="BD31" s="49">
        <f t="shared" si="59"/>
        <v>0.49562707492542479</v>
      </c>
      <c r="BE31" s="49">
        <f t="shared" si="59"/>
        <v>0.55538965051335376</v>
      </c>
    </row>
    <row r="32" spans="1:57" s="5" customFormat="1">
      <c r="A32" s="15" t="s">
        <v>28</v>
      </c>
      <c r="B32" s="49">
        <f t="shared" ref="B32:Q32" si="60">(B5/94.2*B17*2)*4/B18</f>
        <v>0</v>
      </c>
      <c r="C32" s="49">
        <f t="shared" si="60"/>
        <v>1.334972826420745E-3</v>
      </c>
      <c r="D32" s="49">
        <f t="shared" si="60"/>
        <v>1.7890393120919418E-3</v>
      </c>
      <c r="E32" s="49">
        <f t="shared" si="60"/>
        <v>8.9796833979031781E-4</v>
      </c>
      <c r="F32" s="49">
        <f t="shared" si="60"/>
        <v>2.2594831498659717E-3</v>
      </c>
      <c r="G32" s="49">
        <f t="shared" si="60"/>
        <v>4.5924996414518416E-4</v>
      </c>
      <c r="H32" s="49">
        <f t="shared" si="60"/>
        <v>1.3818163984987595E-3</v>
      </c>
      <c r="I32" s="49">
        <f t="shared" si="60"/>
        <v>4.5784097765444822E-4</v>
      </c>
      <c r="J32" s="49">
        <f t="shared" si="60"/>
        <v>2.3232522066822065E-3</v>
      </c>
      <c r="K32" s="49">
        <f t="shared" si="60"/>
        <v>0</v>
      </c>
      <c r="L32" s="49">
        <f t="shared" si="60"/>
        <v>0</v>
      </c>
      <c r="M32" s="49">
        <f t="shared" si="60"/>
        <v>4.5661618273878723E-4</v>
      </c>
      <c r="N32" s="49">
        <f t="shared" si="60"/>
        <v>9.1226565013427085E-4</v>
      </c>
      <c r="O32" s="49">
        <f t="shared" si="60"/>
        <v>0</v>
      </c>
      <c r="P32" s="49">
        <f t="shared" si="60"/>
        <v>0</v>
      </c>
      <c r="Q32" s="49">
        <f t="shared" si="60"/>
        <v>0</v>
      </c>
      <c r="R32" s="49">
        <f t="shared" ref="R32:AG32" si="61">(R5/94.2*R17*2)*4/R18</f>
        <v>9.0488283510921418E-4</v>
      </c>
      <c r="S32" s="49">
        <f t="shared" si="61"/>
        <v>1.3615633938570094E-3</v>
      </c>
      <c r="T32" s="49">
        <f t="shared" si="61"/>
        <v>0</v>
      </c>
      <c r="U32" s="49">
        <f t="shared" si="61"/>
        <v>1.8207190274569247E-3</v>
      </c>
      <c r="V32" s="49">
        <f t="shared" si="61"/>
        <v>1.7921340201369437E-3</v>
      </c>
      <c r="W32" s="49">
        <f t="shared" si="61"/>
        <v>8.8222493492035362E-4</v>
      </c>
      <c r="X32" s="49">
        <f t="shared" si="61"/>
        <v>8.722248296239365E-4</v>
      </c>
      <c r="Y32" s="49">
        <f t="shared" si="61"/>
        <v>0</v>
      </c>
      <c r="Z32" s="49">
        <f t="shared" si="61"/>
        <v>1.3665656917022E-3</v>
      </c>
      <c r="AA32" s="49">
        <f t="shared" si="61"/>
        <v>8.8920752340614962E-4</v>
      </c>
      <c r="AB32" s="49">
        <f t="shared" si="61"/>
        <v>0</v>
      </c>
      <c r="AC32" s="49">
        <f t="shared" si="61"/>
        <v>0</v>
      </c>
      <c r="AD32" s="49">
        <f t="shared" si="61"/>
        <v>4.413989475357272E-4</v>
      </c>
      <c r="AE32" s="49">
        <f t="shared" si="61"/>
        <v>9.1237824732651499E-4</v>
      </c>
      <c r="AF32" s="49">
        <f t="shared" si="61"/>
        <v>4.5021794679195662E-4</v>
      </c>
      <c r="AG32" s="49">
        <f t="shared" si="61"/>
        <v>0</v>
      </c>
      <c r="AH32" s="49">
        <f t="shared" ref="AH32:AW32" si="62">(AH5/94.2*AH17*2)*4/AH18</f>
        <v>0</v>
      </c>
      <c r="AI32" s="49">
        <f t="shared" si="62"/>
        <v>0</v>
      </c>
      <c r="AJ32" s="49">
        <f t="shared" si="62"/>
        <v>9.0628456370005315E-4</v>
      </c>
      <c r="AK32" s="49">
        <f t="shared" si="62"/>
        <v>0</v>
      </c>
      <c r="AL32" s="49">
        <f t="shared" si="62"/>
        <v>2.2987588264793196E-3</v>
      </c>
      <c r="AM32" s="49">
        <f t="shared" si="62"/>
        <v>4.5154964939024734E-4</v>
      </c>
      <c r="AN32" s="49">
        <f t="shared" si="62"/>
        <v>0</v>
      </c>
      <c r="AO32" s="49">
        <f t="shared" si="62"/>
        <v>4.5075848569440152E-4</v>
      </c>
      <c r="AP32" s="49">
        <f t="shared" si="62"/>
        <v>3.5836963065184395E-3</v>
      </c>
      <c r="AQ32" s="49">
        <f t="shared" si="62"/>
        <v>1.8036754402595706E-3</v>
      </c>
      <c r="AR32" s="49">
        <f t="shared" si="62"/>
        <v>0</v>
      </c>
      <c r="AS32" s="49">
        <f t="shared" si="62"/>
        <v>1.3553637440360106E-3</v>
      </c>
      <c r="AT32" s="49">
        <f t="shared" si="62"/>
        <v>4.515495854112577E-4</v>
      </c>
      <c r="AU32" s="49">
        <f t="shared" si="62"/>
        <v>0</v>
      </c>
      <c r="AV32" s="49">
        <f t="shared" si="62"/>
        <v>6.0304085666991775E-2</v>
      </c>
      <c r="AW32" s="49">
        <f t="shared" si="62"/>
        <v>4.5057914196808063E-4</v>
      </c>
      <c r="AX32" s="49">
        <f t="shared" ref="AX32:BE32" si="63">(AX5/94.2*AX17*2)*4/AX18</f>
        <v>1.3542569779711009E-3</v>
      </c>
      <c r="AY32" s="49">
        <f t="shared" si="63"/>
        <v>0</v>
      </c>
      <c r="AZ32" s="49">
        <f t="shared" si="63"/>
        <v>0</v>
      </c>
      <c r="BA32" s="49">
        <f t="shared" si="63"/>
        <v>0</v>
      </c>
      <c r="BB32" s="49">
        <f t="shared" si="63"/>
        <v>2.2718644249047227E-3</v>
      </c>
      <c r="BC32" s="49">
        <f t="shared" si="63"/>
        <v>1.3738757640421747E-3</v>
      </c>
      <c r="BD32" s="49">
        <f t="shared" si="63"/>
        <v>0</v>
      </c>
      <c r="BE32" s="49">
        <f t="shared" si="63"/>
        <v>0</v>
      </c>
    </row>
    <row r="33" spans="1:57" s="5" customFormat="1">
      <c r="A33" t="s">
        <v>442</v>
      </c>
      <c r="B33" s="49">
        <f t="shared" ref="B33:Q33" si="64">SUM(B20:B32)</f>
        <v>3.9999999999999996</v>
      </c>
      <c r="C33" s="49">
        <f t="shared" si="64"/>
        <v>3.9999999999999996</v>
      </c>
      <c r="D33" s="49">
        <f t="shared" si="64"/>
        <v>3.9999999999999991</v>
      </c>
      <c r="E33" s="49">
        <f t="shared" si="64"/>
        <v>3.9999999999999996</v>
      </c>
      <c r="F33" s="49">
        <f t="shared" si="64"/>
        <v>3.9999999999999991</v>
      </c>
      <c r="G33" s="49">
        <f t="shared" si="64"/>
        <v>4.0000000000000009</v>
      </c>
      <c r="H33" s="49">
        <f t="shared" si="64"/>
        <v>4</v>
      </c>
      <c r="I33" s="49">
        <f t="shared" si="64"/>
        <v>4</v>
      </c>
      <c r="J33" s="49">
        <f t="shared" si="64"/>
        <v>3.9999999999999991</v>
      </c>
      <c r="K33" s="49">
        <f t="shared" si="64"/>
        <v>4</v>
      </c>
      <c r="L33" s="49">
        <f t="shared" si="64"/>
        <v>4</v>
      </c>
      <c r="M33" s="49">
        <f t="shared" si="64"/>
        <v>4.0000000000000009</v>
      </c>
      <c r="N33" s="49">
        <f t="shared" si="64"/>
        <v>4</v>
      </c>
      <c r="O33" s="49">
        <f t="shared" si="64"/>
        <v>3.9999999999999987</v>
      </c>
      <c r="P33" s="49">
        <f t="shared" si="64"/>
        <v>4</v>
      </c>
      <c r="Q33" s="49">
        <f t="shared" si="64"/>
        <v>4</v>
      </c>
      <c r="R33" s="49">
        <f t="shared" ref="R33:AG33" si="65">SUM(R20:R32)</f>
        <v>4</v>
      </c>
      <c r="S33" s="49">
        <f t="shared" si="65"/>
        <v>4</v>
      </c>
      <c r="T33" s="49">
        <f t="shared" si="65"/>
        <v>4.0000000000000009</v>
      </c>
      <c r="U33" s="49">
        <f t="shared" si="65"/>
        <v>4</v>
      </c>
      <c r="V33" s="49">
        <f t="shared" si="65"/>
        <v>4</v>
      </c>
      <c r="W33" s="49">
        <f t="shared" si="65"/>
        <v>4</v>
      </c>
      <c r="X33" s="49">
        <f t="shared" si="65"/>
        <v>4</v>
      </c>
      <c r="Y33" s="49">
        <f t="shared" si="65"/>
        <v>4.0000000000000009</v>
      </c>
      <c r="Z33" s="49">
        <f t="shared" si="65"/>
        <v>4</v>
      </c>
      <c r="AA33" s="49">
        <f t="shared" si="65"/>
        <v>3.9999999999999991</v>
      </c>
      <c r="AB33" s="49">
        <f t="shared" si="65"/>
        <v>4</v>
      </c>
      <c r="AC33" s="49">
        <f t="shared" si="65"/>
        <v>3.9999999999999991</v>
      </c>
      <c r="AD33" s="49">
        <f t="shared" si="65"/>
        <v>4.0000000000000009</v>
      </c>
      <c r="AE33" s="49">
        <f t="shared" si="65"/>
        <v>3.9999999999999996</v>
      </c>
      <c r="AF33" s="49">
        <f t="shared" si="65"/>
        <v>4</v>
      </c>
      <c r="AG33" s="49">
        <f t="shared" si="65"/>
        <v>3.9999999999999996</v>
      </c>
      <c r="AH33" s="49">
        <f t="shared" ref="AH33:AW33" si="66">SUM(AH20:AH32)</f>
        <v>4</v>
      </c>
      <c r="AI33" s="49">
        <f t="shared" si="66"/>
        <v>4</v>
      </c>
      <c r="AJ33" s="49">
        <f t="shared" si="66"/>
        <v>4</v>
      </c>
      <c r="AK33" s="49">
        <f t="shared" si="66"/>
        <v>4</v>
      </c>
      <c r="AL33" s="49">
        <f t="shared" si="66"/>
        <v>3.9999999999999991</v>
      </c>
      <c r="AM33" s="49">
        <f t="shared" si="66"/>
        <v>4.0000000000000009</v>
      </c>
      <c r="AN33" s="49">
        <f t="shared" si="66"/>
        <v>3.9999999999999991</v>
      </c>
      <c r="AO33" s="49">
        <f t="shared" si="66"/>
        <v>4</v>
      </c>
      <c r="AP33" s="49">
        <f t="shared" si="66"/>
        <v>4</v>
      </c>
      <c r="AQ33" s="49">
        <f t="shared" si="66"/>
        <v>4.0000000000000009</v>
      </c>
      <c r="AR33" s="49">
        <f t="shared" si="66"/>
        <v>4</v>
      </c>
      <c r="AS33" s="49">
        <f t="shared" si="66"/>
        <v>4</v>
      </c>
      <c r="AT33" s="49">
        <f t="shared" si="66"/>
        <v>3.9999999999999996</v>
      </c>
      <c r="AU33" s="49">
        <f t="shared" si="66"/>
        <v>4.0000000000000009</v>
      </c>
      <c r="AV33" s="49">
        <f t="shared" si="66"/>
        <v>4</v>
      </c>
      <c r="AW33" s="49">
        <f t="shared" si="66"/>
        <v>4</v>
      </c>
      <c r="AX33" s="49">
        <f t="shared" ref="AX33:BE33" si="67">SUM(AX20:AX32)</f>
        <v>3.9999999999999996</v>
      </c>
      <c r="AY33" s="49">
        <f t="shared" si="67"/>
        <v>4</v>
      </c>
      <c r="AZ33" s="49">
        <f t="shared" si="67"/>
        <v>3.9999999999999991</v>
      </c>
      <c r="BA33" s="49">
        <f t="shared" si="67"/>
        <v>4.0000000000000009</v>
      </c>
      <c r="BB33" s="49">
        <f t="shared" si="67"/>
        <v>3.9999999999999996</v>
      </c>
      <c r="BC33" s="49">
        <f t="shared" si="67"/>
        <v>4</v>
      </c>
      <c r="BD33" s="49">
        <f t="shared" si="67"/>
        <v>4</v>
      </c>
      <c r="BE33" s="49">
        <f t="shared" si="67"/>
        <v>4</v>
      </c>
    </row>
    <row r="34" spans="1:57" s="4" customFormat="1">
      <c r="A34" s="51" t="s">
        <v>10</v>
      </c>
      <c r="B34" s="36">
        <f t="shared" ref="B34:Q34" si="68">B10*(B26/(B26+B25))</f>
        <v>11.016026493121105</v>
      </c>
      <c r="C34" s="36">
        <f t="shared" si="68"/>
        <v>0.89989401373015909</v>
      </c>
      <c r="D34" s="36">
        <f t="shared" si="68"/>
        <v>1.3819352791187316</v>
      </c>
      <c r="E34" s="36">
        <f t="shared" si="68"/>
        <v>1.5441976534821782</v>
      </c>
      <c r="F34" s="36">
        <f t="shared" si="68"/>
        <v>1.9898366662283724</v>
      </c>
      <c r="G34" s="36">
        <f t="shared" si="68"/>
        <v>4.284136326772086</v>
      </c>
      <c r="H34" s="36">
        <f t="shared" si="68"/>
        <v>5.091224969279657</v>
      </c>
      <c r="I34" s="36">
        <f t="shared" si="68"/>
        <v>3.3582651581372294</v>
      </c>
      <c r="J34" s="36">
        <f t="shared" si="68"/>
        <v>4.896336377599293</v>
      </c>
      <c r="K34" s="36">
        <f t="shared" si="68"/>
        <v>2.655928199587299</v>
      </c>
      <c r="L34" s="36">
        <f t="shared" si="68"/>
        <v>3.3358293230899747</v>
      </c>
      <c r="M34" s="36">
        <f t="shared" si="68"/>
        <v>2.6750389935398187</v>
      </c>
      <c r="N34" s="36">
        <f t="shared" si="68"/>
        <v>3.2189345814629107</v>
      </c>
      <c r="O34" s="36">
        <f t="shared" si="68"/>
        <v>2.8606747883617194</v>
      </c>
      <c r="P34" s="36">
        <f t="shared" si="68"/>
        <v>3.5686602284998941</v>
      </c>
      <c r="Q34" s="36">
        <f t="shared" si="68"/>
        <v>2.7604555333828578</v>
      </c>
      <c r="R34" s="36">
        <f t="shared" ref="R34:AG34" si="69">R10*(R26/(R26+R25))</f>
        <v>1.2514675157545392</v>
      </c>
      <c r="S34" s="36">
        <f t="shared" si="69"/>
        <v>3.4277235475809484</v>
      </c>
      <c r="T34" s="36">
        <f t="shared" si="69"/>
        <v>4.156008691762004</v>
      </c>
      <c r="U34" s="36">
        <f t="shared" si="69"/>
        <v>2.6609189589966689</v>
      </c>
      <c r="V34" s="36">
        <f t="shared" si="69"/>
        <v>1.794996017977605</v>
      </c>
      <c r="W34" s="36">
        <f t="shared" si="69"/>
        <v>2.73</v>
      </c>
      <c r="X34" s="36">
        <f t="shared" si="69"/>
        <v>2.88</v>
      </c>
      <c r="Y34" s="36">
        <f t="shared" si="69"/>
        <v>2.81</v>
      </c>
      <c r="Z34" s="36">
        <f t="shared" si="69"/>
        <v>1.200660550494965</v>
      </c>
      <c r="AA34" s="36">
        <f t="shared" si="69"/>
        <v>0</v>
      </c>
      <c r="AB34" s="36">
        <f t="shared" si="69"/>
        <v>0</v>
      </c>
      <c r="AC34" s="36">
        <f t="shared" si="69"/>
        <v>0</v>
      </c>
      <c r="AD34" s="36">
        <f t="shared" si="69"/>
        <v>1.7493105202304426</v>
      </c>
      <c r="AE34" s="36">
        <f t="shared" si="69"/>
        <v>1.6105469538308106</v>
      </c>
      <c r="AF34" s="36">
        <f t="shared" si="69"/>
        <v>1.9052201137190026</v>
      </c>
      <c r="AG34" s="36">
        <f t="shared" si="69"/>
        <v>3.52</v>
      </c>
      <c r="AH34" s="36">
        <f t="shared" ref="AH34:AW34" si="70">AH10*(AH26/(AH26+AH25))</f>
        <v>2.6771852823078808</v>
      </c>
      <c r="AI34" s="36">
        <f t="shared" si="70"/>
        <v>3.51</v>
      </c>
      <c r="AJ34" s="36">
        <f t="shared" si="70"/>
        <v>1.5906857296413379</v>
      </c>
      <c r="AK34" s="36">
        <f t="shared" si="70"/>
        <v>2.41</v>
      </c>
      <c r="AL34" s="36">
        <f t="shared" si="70"/>
        <v>3.11</v>
      </c>
      <c r="AM34" s="36">
        <f t="shared" si="70"/>
        <v>2.9354060454371478</v>
      </c>
      <c r="AN34" s="36">
        <f t="shared" si="70"/>
        <v>2.7696484793709142</v>
      </c>
      <c r="AO34" s="36">
        <f t="shared" si="70"/>
        <v>1.5938691139773489</v>
      </c>
      <c r="AP34" s="36">
        <f t="shared" si="70"/>
        <v>0</v>
      </c>
      <c r="AQ34" s="36">
        <f t="shared" si="70"/>
        <v>2.3938864280172081</v>
      </c>
      <c r="AR34" s="36">
        <f t="shared" si="70"/>
        <v>2.0166034833007229</v>
      </c>
      <c r="AS34" s="36">
        <f t="shared" si="70"/>
        <v>2.5499999999999998</v>
      </c>
      <c r="AT34" s="36">
        <f t="shared" si="70"/>
        <v>2.83</v>
      </c>
      <c r="AU34" s="36">
        <f t="shared" si="70"/>
        <v>3.235865663515467</v>
      </c>
      <c r="AV34" s="36">
        <f t="shared" si="70"/>
        <v>0.71</v>
      </c>
      <c r="AW34" s="36">
        <f t="shared" si="70"/>
        <v>3.6169860312108177</v>
      </c>
      <c r="AX34" s="36">
        <f t="shared" ref="AX34:BE34" si="71">AX10*(AX26/(AX26+AX25))</f>
        <v>3.1859020968456653</v>
      </c>
      <c r="AY34" s="36">
        <f t="shared" si="71"/>
        <v>4.26</v>
      </c>
      <c r="AZ34" s="36">
        <f t="shared" si="71"/>
        <v>3.6045450149172455</v>
      </c>
      <c r="BA34" s="36">
        <f t="shared" si="71"/>
        <v>1.9711888879407859</v>
      </c>
      <c r="BB34" s="36">
        <f t="shared" si="71"/>
        <v>5.0784531314762438</v>
      </c>
      <c r="BC34" s="36">
        <f t="shared" si="71"/>
        <v>3.1079896192049841</v>
      </c>
      <c r="BD34" s="36">
        <f t="shared" si="71"/>
        <v>4.3587523397152372</v>
      </c>
      <c r="BE34" s="36">
        <f t="shared" si="71"/>
        <v>3.1560018149072468</v>
      </c>
    </row>
    <row r="35" spans="1:57" s="4" customFormat="1">
      <c r="A35" s="51" t="s">
        <v>101</v>
      </c>
      <c r="B35" s="36">
        <f t="shared" ref="B35:Q35" si="72">1.1113*B10*(B25/(B25+B26))</f>
        <v>0.49338775819451769</v>
      </c>
      <c r="C35" s="36">
        <f t="shared" si="72"/>
        <v>2.356073782541674</v>
      </c>
      <c r="D35" s="36">
        <f t="shared" si="72"/>
        <v>1.8426073243153538</v>
      </c>
      <c r="E35" s="36">
        <f t="shared" si="72"/>
        <v>1.6845111476852552</v>
      </c>
      <c r="F35" s="36">
        <f t="shared" si="72"/>
        <v>2.4561545128204099</v>
      </c>
      <c r="G35" s="36">
        <f t="shared" si="72"/>
        <v>1.6179013000581803</v>
      </c>
      <c r="H35" s="36">
        <f t="shared" si="72"/>
        <v>0.98769569163951787</v>
      </c>
      <c r="I35" s="36">
        <f t="shared" si="72"/>
        <v>3.1024549297620974</v>
      </c>
      <c r="J35" s="36">
        <f t="shared" si="72"/>
        <v>0.69307738357390569</v>
      </c>
      <c r="K35" s="36">
        <f t="shared" si="72"/>
        <v>3.6051369917986351</v>
      </c>
      <c r="L35" s="36">
        <f t="shared" si="72"/>
        <v>1.3604208732501106</v>
      </c>
      <c r="M35" s="36">
        <f t="shared" si="72"/>
        <v>1.7835931664792</v>
      </c>
      <c r="N35" s="36">
        <f t="shared" si="72"/>
        <v>1.0346929996202681</v>
      </c>
      <c r="O35" s="36">
        <f t="shared" si="72"/>
        <v>2.0662681076936207</v>
      </c>
      <c r="P35" s="36">
        <f t="shared" si="72"/>
        <v>0.85718988806806751</v>
      </c>
      <c r="Q35" s="36">
        <f t="shared" si="72"/>
        <v>2.0665117657516303</v>
      </c>
      <c r="R35" s="36">
        <f t="shared" ref="R35:AG35" si="73">1.1113*R10*(R25/(R25+R26))</f>
        <v>3.0211051497419805</v>
      </c>
      <c r="S35" s="36">
        <f t="shared" si="73"/>
        <v>1.4138808215732923</v>
      </c>
      <c r="T35" s="36">
        <f t="shared" si="73"/>
        <v>0.92681454084488546</v>
      </c>
      <c r="U35" s="36">
        <f t="shared" si="73"/>
        <v>2.8550197608670023</v>
      </c>
      <c r="V35" s="36">
        <f t="shared" si="73"/>
        <v>3.8951109252214868</v>
      </c>
      <c r="W35" s="36">
        <f t="shared" si="73"/>
        <v>0</v>
      </c>
      <c r="X35" s="36">
        <f t="shared" si="73"/>
        <v>0</v>
      </c>
      <c r="Y35" s="36">
        <f t="shared" si="73"/>
        <v>0</v>
      </c>
      <c r="Z35" s="36">
        <f t="shared" si="73"/>
        <v>3.0442279302349449</v>
      </c>
      <c r="AA35" s="36">
        <f t="shared" si="73"/>
        <v>3.2894479999999997</v>
      </c>
      <c r="AB35" s="36">
        <f t="shared" si="73"/>
        <v>3.5117080000000001</v>
      </c>
      <c r="AC35" s="36">
        <f t="shared" si="73"/>
        <v>3.1449789999999997</v>
      </c>
      <c r="AD35" s="36">
        <f t="shared" si="73"/>
        <v>1.1009532188679092</v>
      </c>
      <c r="AE35" s="36">
        <f t="shared" si="73"/>
        <v>0.15497417020782014</v>
      </c>
      <c r="AF35" s="36">
        <f t="shared" si="73"/>
        <v>1.9167478876240724</v>
      </c>
      <c r="AG35" s="36">
        <f t="shared" si="73"/>
        <v>0</v>
      </c>
      <c r="AH35" s="36">
        <f t="shared" ref="AH35:AW35" si="74">1.1113*AH10*(AH25/(AH25+AH26))</f>
        <v>0.11425799577125192</v>
      </c>
      <c r="AI35" s="36">
        <f t="shared" si="74"/>
        <v>0</v>
      </c>
      <c r="AJ35" s="36">
        <f t="shared" si="74"/>
        <v>1.8106569486495812</v>
      </c>
      <c r="AK35" s="36">
        <f t="shared" si="74"/>
        <v>0</v>
      </c>
      <c r="AL35" s="36">
        <f t="shared" si="74"/>
        <v>0</v>
      </c>
      <c r="AM35" s="36">
        <f t="shared" si="74"/>
        <v>0.50519026170569781</v>
      </c>
      <c r="AN35" s="36">
        <f t="shared" si="74"/>
        <v>0.7894136448751029</v>
      </c>
      <c r="AO35" s="36">
        <f t="shared" si="74"/>
        <v>2.0960572536369719</v>
      </c>
      <c r="AP35" s="36">
        <f t="shared" si="74"/>
        <v>3.0671879999999998</v>
      </c>
      <c r="AQ35" s="36">
        <f t="shared" si="74"/>
        <v>0.10681101254447717</v>
      </c>
      <c r="AR35" s="36">
        <f t="shared" si="74"/>
        <v>1.9263235490079067</v>
      </c>
      <c r="AS35" s="36">
        <f t="shared" si="74"/>
        <v>0</v>
      </c>
      <c r="AT35" s="36">
        <f t="shared" si="74"/>
        <v>0</v>
      </c>
      <c r="AU35" s="36">
        <f t="shared" si="74"/>
        <v>3.7933488135261359E-2</v>
      </c>
      <c r="AV35" s="36">
        <f t="shared" si="74"/>
        <v>0</v>
      </c>
      <c r="AW35" s="36">
        <f t="shared" si="74"/>
        <v>0.7590334235154178</v>
      </c>
      <c r="AX35" s="36">
        <f t="shared" ref="AX35:BE35" si="75">1.1113*AX10*(AX25/(AX25+AX26))</f>
        <v>1.3381139997754115</v>
      </c>
      <c r="AY35" s="36">
        <f t="shared" si="75"/>
        <v>0</v>
      </c>
      <c r="AZ35" s="36">
        <f t="shared" si="75"/>
        <v>1.3729611249224651</v>
      </c>
      <c r="BA35" s="36">
        <f t="shared" si="75"/>
        <v>5.5885177888314042</v>
      </c>
      <c r="BB35" s="36">
        <f t="shared" si="75"/>
        <v>2.1465280349904505</v>
      </c>
      <c r="BC35" s="36">
        <f t="shared" si="75"/>
        <v>2.1137041361775006</v>
      </c>
      <c r="BD35" s="36">
        <f t="shared" si="75"/>
        <v>0.26809852487445657</v>
      </c>
      <c r="BE35" s="36">
        <f t="shared" si="75"/>
        <v>2.1714781830935763</v>
      </c>
    </row>
    <row r="36" spans="1:57" s="4" customFormat="1">
      <c r="A36" s="51" t="s">
        <v>209</v>
      </c>
      <c r="B36" s="36">
        <f t="shared" ref="B36:Q36" si="76">B35+B34+B11+B15+B14+B13+B12+B8+B9+B7+B6+B5</f>
        <v>100.64941425131562</v>
      </c>
      <c r="C36" s="36">
        <f t="shared" si="76"/>
        <v>101.34596779627182</v>
      </c>
      <c r="D36" s="36">
        <f t="shared" si="76"/>
        <v>100.6645426034341</v>
      </c>
      <c r="E36" s="36">
        <f t="shared" si="76"/>
        <v>100.27870880116743</v>
      </c>
      <c r="F36" s="36">
        <f t="shared" si="76"/>
        <v>100.13599117904879</v>
      </c>
      <c r="G36" s="36">
        <f t="shared" si="76"/>
        <v>99.342037626830276</v>
      </c>
      <c r="H36" s="36">
        <f t="shared" si="76"/>
        <v>99.198920660919185</v>
      </c>
      <c r="I36" s="36">
        <f t="shared" si="76"/>
        <v>99.730720087899343</v>
      </c>
      <c r="J36" s="36">
        <f t="shared" si="76"/>
        <v>98.139413761173202</v>
      </c>
      <c r="K36" s="36">
        <f t="shared" si="76"/>
        <v>98.781065191385935</v>
      </c>
      <c r="L36" s="36">
        <f t="shared" si="76"/>
        <v>99.466250196340084</v>
      </c>
      <c r="M36" s="36">
        <f t="shared" si="76"/>
        <v>98.898632160019034</v>
      </c>
      <c r="N36" s="36">
        <f t="shared" si="76"/>
        <v>98.983627581083184</v>
      </c>
      <c r="O36" s="36">
        <f t="shared" si="76"/>
        <v>99.806942896055347</v>
      </c>
      <c r="P36" s="36">
        <f t="shared" si="76"/>
        <v>100.21585011656796</v>
      </c>
      <c r="Q36" s="36">
        <f t="shared" si="76"/>
        <v>100.25696729913447</v>
      </c>
      <c r="R36" s="36">
        <f t="shared" ref="R36:AG36" si="77">R35+R34+R11+R15+R14+R13+R12+R8+R9+R7+R6+R5</f>
        <v>99.762572665496506</v>
      </c>
      <c r="S36" s="36">
        <f t="shared" si="77"/>
        <v>99.411604369154247</v>
      </c>
      <c r="T36" s="36">
        <f t="shared" si="77"/>
        <v>99.882823232606896</v>
      </c>
      <c r="U36" s="36">
        <f t="shared" si="77"/>
        <v>99.345938719863668</v>
      </c>
      <c r="V36" s="36">
        <f t="shared" si="77"/>
        <v>101.0601069431991</v>
      </c>
      <c r="W36" s="36">
        <f t="shared" si="77"/>
        <v>103.83000000000001</v>
      </c>
      <c r="X36" s="36">
        <f t="shared" si="77"/>
        <v>104.73999999999998</v>
      </c>
      <c r="Y36" s="36">
        <f t="shared" si="77"/>
        <v>104.39</v>
      </c>
      <c r="Z36" s="36">
        <f t="shared" si="77"/>
        <v>101.83488848072992</v>
      </c>
      <c r="AA36" s="36">
        <f t="shared" si="77"/>
        <v>101.94944799999999</v>
      </c>
      <c r="AB36" s="36">
        <f t="shared" si="77"/>
        <v>103.22170799999999</v>
      </c>
      <c r="AC36" s="36">
        <f t="shared" si="77"/>
        <v>102.554979</v>
      </c>
      <c r="AD36" s="36">
        <f t="shared" si="77"/>
        <v>102.48026373909836</v>
      </c>
      <c r="AE36" s="36">
        <f t="shared" si="77"/>
        <v>98.875521124038627</v>
      </c>
      <c r="AF36" s="36">
        <f t="shared" si="77"/>
        <v>100.16196800134307</v>
      </c>
      <c r="AG36" s="36">
        <f t="shared" si="77"/>
        <v>99.25</v>
      </c>
      <c r="AH36" s="36">
        <f t="shared" ref="AH36:AW36" si="78">AH35+AH34+AH11+AH15+AH14+AH13+AH12+AH8+AH9+AH7+AH6+AH5</f>
        <v>99.011443278079128</v>
      </c>
      <c r="AI36" s="36">
        <f t="shared" si="78"/>
        <v>99.11999999999999</v>
      </c>
      <c r="AJ36" s="36">
        <f t="shared" si="78"/>
        <v>99.351342678290919</v>
      </c>
      <c r="AK36" s="36">
        <f t="shared" si="78"/>
        <v>99.399999999999977</v>
      </c>
      <c r="AL36" s="36">
        <f t="shared" si="78"/>
        <v>99.36</v>
      </c>
      <c r="AM36" s="36">
        <f t="shared" si="78"/>
        <v>99.750596307142857</v>
      </c>
      <c r="AN36" s="36">
        <f t="shared" si="78"/>
        <v>100.27906212424601</v>
      </c>
      <c r="AO36" s="36">
        <f t="shared" si="78"/>
        <v>100.10992636761431</v>
      </c>
      <c r="AP36" s="36">
        <f t="shared" si="78"/>
        <v>100.697188</v>
      </c>
      <c r="AQ36" s="36">
        <f t="shared" si="78"/>
        <v>99.870697440561685</v>
      </c>
      <c r="AR36" s="36">
        <f t="shared" si="78"/>
        <v>99.552927032308617</v>
      </c>
      <c r="AS36" s="36">
        <f t="shared" si="78"/>
        <v>99.81</v>
      </c>
      <c r="AT36" s="36">
        <f t="shared" si="78"/>
        <v>99.870000000000019</v>
      </c>
      <c r="AU36" s="36">
        <f t="shared" si="78"/>
        <v>98.833799151650723</v>
      </c>
      <c r="AV36" s="36">
        <f t="shared" si="78"/>
        <v>99.969999999999985</v>
      </c>
      <c r="AW36" s="36">
        <f t="shared" si="78"/>
        <v>100.29601945472625</v>
      </c>
      <c r="AX36" s="36">
        <f t="shared" ref="AX36:BE36" si="79">AX35+AX34+AX11+AX15+AX14+AX13+AX12+AX8+AX9+AX7+AX6+AX5</f>
        <v>99.904016096621078</v>
      </c>
      <c r="AY36" s="36">
        <f t="shared" si="79"/>
        <v>99.639999999999986</v>
      </c>
      <c r="AZ36" s="36">
        <f t="shared" si="79"/>
        <v>98.197506139839717</v>
      </c>
      <c r="BA36" s="36">
        <f t="shared" si="79"/>
        <v>102.90970667677219</v>
      </c>
      <c r="BB36" s="36">
        <f t="shared" si="79"/>
        <v>100.7149811664667</v>
      </c>
      <c r="BC36" s="36">
        <f t="shared" si="79"/>
        <v>98.781693755382477</v>
      </c>
      <c r="BD36" s="36">
        <f t="shared" si="79"/>
        <v>98.366850864589694</v>
      </c>
      <c r="BE36" s="36">
        <f t="shared" si="79"/>
        <v>98.81747999800082</v>
      </c>
    </row>
    <row r="37" spans="1:57" s="5" customFormat="1" hidden="1">
      <c r="A37" s="15" t="s">
        <v>443</v>
      </c>
      <c r="B37" s="49">
        <f t="shared" ref="B37:Q37" si="80">IF(B31+B32&gt;B22,B22,B31+B32)</f>
        <v>0.11873370179430834</v>
      </c>
      <c r="C37" s="49">
        <f t="shared" si="80"/>
        <v>0.46089317109740985</v>
      </c>
      <c r="D37" s="49">
        <f t="shared" si="80"/>
        <v>0.46255816907539565</v>
      </c>
      <c r="E37" s="49">
        <f t="shared" si="80"/>
        <v>0.47095933405441109</v>
      </c>
      <c r="F37" s="49">
        <f t="shared" si="80"/>
        <v>0.45777880331847876</v>
      </c>
      <c r="G37" s="49">
        <f t="shared" si="80"/>
        <v>0.40716301958835177</v>
      </c>
      <c r="H37" s="49">
        <f t="shared" si="80"/>
        <v>0.4192485716025911</v>
      </c>
      <c r="I37" s="49">
        <f t="shared" si="80"/>
        <v>0.39753757877084617</v>
      </c>
      <c r="J37" s="49">
        <f t="shared" si="80"/>
        <v>0.41047859941771131</v>
      </c>
      <c r="K37" s="49">
        <f t="shared" si="80"/>
        <v>0.37865852108162207</v>
      </c>
      <c r="L37" s="49">
        <f t="shared" si="80"/>
        <v>0.48787840589966014</v>
      </c>
      <c r="M37" s="49">
        <f t="shared" si="80"/>
        <v>0.47669639567958483</v>
      </c>
      <c r="N37" s="49">
        <f t="shared" si="80"/>
        <v>0.48877454498809919</v>
      </c>
      <c r="O37" s="49">
        <f t="shared" si="80"/>
        <v>0.48198410123432345</v>
      </c>
      <c r="P37" s="49">
        <f t="shared" si="80"/>
        <v>0.44517420956667109</v>
      </c>
      <c r="Q37" s="49">
        <f t="shared" si="80"/>
        <v>0.47887793112742305</v>
      </c>
      <c r="R37" s="49">
        <f t="shared" ref="R37:AG37" si="81">IF(R31+R32&gt;R22,R22,R31+R32)</f>
        <v>0.46673677118741641</v>
      </c>
      <c r="S37" s="49">
        <f t="shared" si="81"/>
        <v>0.54696988694505799</v>
      </c>
      <c r="T37" s="49">
        <f t="shared" si="81"/>
        <v>0.54624978836828531</v>
      </c>
      <c r="U37" s="49">
        <f t="shared" si="81"/>
        <v>0.51877451289893473</v>
      </c>
      <c r="V37" s="49">
        <f t="shared" si="81"/>
        <v>0.48039881161047149</v>
      </c>
      <c r="W37" s="49">
        <f t="shared" si="81"/>
        <v>0.3434102747051434</v>
      </c>
      <c r="X37" s="49">
        <f t="shared" si="81"/>
        <v>0.33506195146566436</v>
      </c>
      <c r="Y37" s="49">
        <f t="shared" si="81"/>
        <v>0.37969379177960244</v>
      </c>
      <c r="Z37" s="49">
        <f t="shared" si="81"/>
        <v>0.17259889612496718</v>
      </c>
      <c r="AA37" s="49">
        <f t="shared" si="81"/>
        <v>0.31668653294440946</v>
      </c>
      <c r="AB37" s="49">
        <f t="shared" si="81"/>
        <v>0.35014922066722937</v>
      </c>
      <c r="AC37" s="49">
        <f t="shared" si="81"/>
        <v>0.38877631397205659</v>
      </c>
      <c r="AD37" s="49">
        <f t="shared" si="81"/>
        <v>0.39939551772773091</v>
      </c>
      <c r="AE37" s="49">
        <f t="shared" si="81"/>
        <v>0.40822623202518182</v>
      </c>
      <c r="AF37" s="49">
        <f t="shared" si="81"/>
        <v>0.47505956935038773</v>
      </c>
      <c r="AG37" s="49">
        <f t="shared" si="81"/>
        <v>0.46589962992705086</v>
      </c>
      <c r="AH37" s="49">
        <f t="shared" ref="AH37:AW37" si="82">IF(AH31+AH32&gt;AH22,AH22,AH31+AH32)</f>
        <v>0.45878883601130654</v>
      </c>
      <c r="AI37" s="49">
        <f t="shared" si="82"/>
        <v>0.46459373608922355</v>
      </c>
      <c r="AJ37" s="49">
        <f t="shared" si="82"/>
        <v>0.46722705550563087</v>
      </c>
      <c r="AK37" s="49">
        <f t="shared" si="82"/>
        <v>0.43988515645980214</v>
      </c>
      <c r="AL37" s="49">
        <f t="shared" si="82"/>
        <v>0.39335685677164328</v>
      </c>
      <c r="AM37" s="49">
        <f t="shared" si="82"/>
        <v>0.49456118503134205</v>
      </c>
      <c r="AN37" s="49">
        <f t="shared" si="82"/>
        <v>0.4966078699919782</v>
      </c>
      <c r="AO37" s="49">
        <f t="shared" si="82"/>
        <v>0.46350800875006892</v>
      </c>
      <c r="AP37" s="49">
        <f t="shared" si="82"/>
        <v>0.41490560258939413</v>
      </c>
      <c r="AQ37" s="49">
        <f t="shared" si="82"/>
        <v>0.43697216713948972</v>
      </c>
      <c r="AR37" s="49">
        <f t="shared" si="82"/>
        <v>0.45528513446704488</v>
      </c>
      <c r="AS37" s="49">
        <f t="shared" si="82"/>
        <v>0.43598930342343578</v>
      </c>
      <c r="AT37" s="49">
        <f t="shared" si="82"/>
        <v>0.44515015842087685</v>
      </c>
      <c r="AU37" s="49">
        <f t="shared" si="82"/>
        <v>0.4846596939527601</v>
      </c>
      <c r="AV37" s="49">
        <f t="shared" si="82"/>
        <v>0.47820032798800649</v>
      </c>
      <c r="AW37" s="49">
        <f t="shared" si="82"/>
        <v>0.52644065206792567</v>
      </c>
      <c r="AX37" s="49">
        <f t="shared" ref="AX37:BE37" si="83">IF(AX31+AX32&gt;AX22,AX22,AX31+AX32)</f>
        <v>0.52214775205024078</v>
      </c>
      <c r="AY37" s="49">
        <f t="shared" si="83"/>
        <v>0.51177911843461954</v>
      </c>
      <c r="AZ37" s="49">
        <f t="shared" si="83"/>
        <v>0.49127691035937299</v>
      </c>
      <c r="BA37" s="49">
        <f t="shared" si="83"/>
        <v>0.4173460249007736</v>
      </c>
      <c r="BB37" s="49">
        <f t="shared" si="83"/>
        <v>0.41949740049260087</v>
      </c>
      <c r="BC37" s="49">
        <f t="shared" si="83"/>
        <v>0.47896361413762351</v>
      </c>
      <c r="BD37" s="49">
        <f t="shared" si="83"/>
        <v>0.48939235439109297</v>
      </c>
      <c r="BE37" s="49">
        <f t="shared" si="83"/>
        <v>0.49602661540060983</v>
      </c>
    </row>
    <row r="38" spans="1:57" s="5" customFormat="1" hidden="1">
      <c r="A38" s="15" t="s">
        <v>444</v>
      </c>
      <c r="B38" s="49">
        <f t="shared" ref="B38:Q38" si="84">IF(B31+B32&gt;B22,B31+B32-B22,0)</f>
        <v>0</v>
      </c>
      <c r="C38" s="49">
        <f t="shared" si="84"/>
        <v>4.7663415458941205E-2</v>
      </c>
      <c r="D38" s="49">
        <f t="shared" si="84"/>
        <v>3.7483023462276555E-2</v>
      </c>
      <c r="E38" s="49">
        <f t="shared" si="84"/>
        <v>3.6253001886618008E-2</v>
      </c>
      <c r="F38" s="49">
        <f t="shared" si="84"/>
        <v>4.2403953427258667E-2</v>
      </c>
      <c r="G38" s="49">
        <f t="shared" si="84"/>
        <v>4.3484487797258442E-2</v>
      </c>
      <c r="H38" s="49">
        <f t="shared" si="84"/>
        <v>3.5050310857362599E-2</v>
      </c>
      <c r="I38" s="49">
        <f t="shared" si="84"/>
        <v>6.564383297263704E-2</v>
      </c>
      <c r="J38" s="49">
        <f t="shared" si="84"/>
        <v>2.6847784174178657E-2</v>
      </c>
      <c r="K38" s="49">
        <f t="shared" si="84"/>
        <v>7.6928191207523533E-2</v>
      </c>
      <c r="L38" s="49">
        <f t="shared" si="84"/>
        <v>3.0906319132010696E-2</v>
      </c>
      <c r="M38" s="49">
        <f t="shared" si="84"/>
        <v>4.2844903502530063E-2</v>
      </c>
      <c r="N38" s="49">
        <f t="shared" si="84"/>
        <v>2.5820316930325882E-2</v>
      </c>
      <c r="O38" s="49">
        <f t="shared" si="84"/>
        <v>3.91767889407868E-2</v>
      </c>
      <c r="P38" s="49">
        <f t="shared" si="84"/>
        <v>2.0121015631201167E-2</v>
      </c>
      <c r="Q38" s="49">
        <f t="shared" si="84"/>
        <v>3.4612285711238422E-2</v>
      </c>
      <c r="R38" s="49">
        <f t="shared" ref="R38:AG38" si="85">IF(R31+R32&gt;R22,R31+R32-R22,0)</f>
        <v>4.9194509129209196E-2</v>
      </c>
      <c r="S38" s="49">
        <f t="shared" si="85"/>
        <v>1.793068766703898E-2</v>
      </c>
      <c r="T38" s="49">
        <f t="shared" si="85"/>
        <v>8.5571033672829921E-3</v>
      </c>
      <c r="U38" s="49">
        <f t="shared" si="85"/>
        <v>4.7539017054827215E-2</v>
      </c>
      <c r="V38" s="49">
        <f t="shared" si="85"/>
        <v>7.7023683452671743E-2</v>
      </c>
      <c r="W38" s="49">
        <f t="shared" si="85"/>
        <v>6.2394150845894392E-2</v>
      </c>
      <c r="X38" s="49">
        <f t="shared" si="85"/>
        <v>4.6921385433435547E-2</v>
      </c>
      <c r="Y38" s="49">
        <f t="shared" si="85"/>
        <v>3.668033841213586E-2</v>
      </c>
      <c r="Z38" s="49">
        <f t="shared" si="85"/>
        <v>0.1354567419541369</v>
      </c>
      <c r="AA38" s="49">
        <f t="shared" si="85"/>
        <v>9.4356853726568546E-2</v>
      </c>
      <c r="AB38" s="49">
        <f t="shared" si="85"/>
        <v>0.11760437897877879</v>
      </c>
      <c r="AC38" s="49">
        <f t="shared" si="85"/>
        <v>3.0440130426061085E-2</v>
      </c>
      <c r="AD38" s="49">
        <f t="shared" si="85"/>
        <v>3.2393677218764516E-2</v>
      </c>
      <c r="AE38" s="49">
        <f t="shared" si="85"/>
        <v>8.6748085668143515E-3</v>
      </c>
      <c r="AF38" s="49">
        <f t="shared" si="85"/>
        <v>2.3516979917111602E-2</v>
      </c>
      <c r="AG38" s="49">
        <f t="shared" si="85"/>
        <v>0</v>
      </c>
      <c r="AH38" s="49">
        <f t="shared" ref="AH38:AW38" si="86">IF(AH31+AH32&gt;AH22,AH31+AH32-AH22,0)</f>
        <v>3.0131015694845886E-3</v>
      </c>
      <c r="AI38" s="49">
        <f t="shared" si="86"/>
        <v>0</v>
      </c>
      <c r="AJ38" s="49">
        <f t="shared" si="86"/>
        <v>4.3305284738777317E-2</v>
      </c>
      <c r="AK38" s="49">
        <f t="shared" si="86"/>
        <v>0</v>
      </c>
      <c r="AL38" s="49">
        <f t="shared" si="86"/>
        <v>9.9449608101607856E-2</v>
      </c>
      <c r="AM38" s="49">
        <f t="shared" si="86"/>
        <v>0</v>
      </c>
      <c r="AN38" s="49">
        <f t="shared" si="86"/>
        <v>0</v>
      </c>
      <c r="AO38" s="49">
        <f t="shared" si="86"/>
        <v>1.7855554185202127E-2</v>
      </c>
      <c r="AP38" s="49">
        <f t="shared" si="86"/>
        <v>4.3459805152413433E-2</v>
      </c>
      <c r="AQ38" s="49">
        <f t="shared" si="86"/>
        <v>0</v>
      </c>
      <c r="AR38" s="49">
        <f t="shared" si="86"/>
        <v>4.4794450686550746E-2</v>
      </c>
      <c r="AS38" s="49">
        <f t="shared" si="86"/>
        <v>0</v>
      </c>
      <c r="AT38" s="49">
        <f t="shared" si="86"/>
        <v>0</v>
      </c>
      <c r="AU38" s="49">
        <f t="shared" si="86"/>
        <v>0</v>
      </c>
      <c r="AV38" s="49">
        <f t="shared" si="86"/>
        <v>0</v>
      </c>
      <c r="AW38" s="49">
        <f t="shared" si="86"/>
        <v>9.5144629972697681E-3</v>
      </c>
      <c r="AX38" s="49">
        <f t="shared" ref="AX38:BE38" si="87">IF(AX31+AX32&gt;AX22,AX31+AX32-AX22,0)</f>
        <v>2.3941964770657354E-2</v>
      </c>
      <c r="AY38" s="49">
        <f t="shared" si="87"/>
        <v>0</v>
      </c>
      <c r="AZ38" s="49">
        <f t="shared" si="87"/>
        <v>4.8081916405283087E-2</v>
      </c>
      <c r="BA38" s="49">
        <f t="shared" si="87"/>
        <v>0.12953191663132807</v>
      </c>
      <c r="BB38" s="49">
        <f t="shared" si="87"/>
        <v>5.7185147690424265E-2</v>
      </c>
      <c r="BC38" s="49">
        <f t="shared" si="87"/>
        <v>5.9029085188140151E-2</v>
      </c>
      <c r="BD38" s="49">
        <f t="shared" si="87"/>
        <v>6.2347205343318279E-3</v>
      </c>
      <c r="BE38" s="49">
        <f t="shared" si="87"/>
        <v>5.9363035112743934E-2</v>
      </c>
    </row>
    <row r="39" spans="1:57" s="5" customFormat="1" hidden="1">
      <c r="A39" s="15" t="s">
        <v>445</v>
      </c>
      <c r="B39" s="49">
        <f t="shared" ref="B39:Q39" si="88">IF((B25+B24)/2&gt;B38,(B25+B24)/2,0)</f>
        <v>7.0368048480610986E-3</v>
      </c>
      <c r="C39" s="49">
        <f t="shared" si="88"/>
        <v>0</v>
      </c>
      <c r="D39" s="49">
        <f t="shared" si="88"/>
        <v>0</v>
      </c>
      <c r="E39" s="49">
        <f t="shared" si="88"/>
        <v>0</v>
      </c>
      <c r="F39" s="49">
        <f t="shared" si="88"/>
        <v>0</v>
      </c>
      <c r="G39" s="49">
        <f t="shared" si="88"/>
        <v>0</v>
      </c>
      <c r="H39" s="49">
        <f t="shared" si="88"/>
        <v>0</v>
      </c>
      <c r="I39" s="49">
        <f t="shared" si="88"/>
        <v>0</v>
      </c>
      <c r="J39" s="49">
        <f t="shared" si="88"/>
        <v>0</v>
      </c>
      <c r="K39" s="49">
        <f t="shared" si="88"/>
        <v>0</v>
      </c>
      <c r="L39" s="49">
        <f t="shared" si="88"/>
        <v>0</v>
      </c>
      <c r="M39" s="49">
        <f t="shared" si="88"/>
        <v>0</v>
      </c>
      <c r="N39" s="49">
        <f t="shared" si="88"/>
        <v>0</v>
      </c>
      <c r="O39" s="49">
        <f t="shared" si="88"/>
        <v>0</v>
      </c>
      <c r="P39" s="49">
        <f t="shared" si="88"/>
        <v>0</v>
      </c>
      <c r="Q39" s="49">
        <f t="shared" si="88"/>
        <v>0</v>
      </c>
      <c r="R39" s="49">
        <f t="shared" ref="R39:AG39" si="89">IF((R25+R24)/2&gt;R38,(R25+R24)/2,0)</f>
        <v>0</v>
      </c>
      <c r="S39" s="49">
        <f t="shared" si="89"/>
        <v>1.8926148363491047E-2</v>
      </c>
      <c r="T39" s="49">
        <f t="shared" si="89"/>
        <v>1.4047252934421344E-2</v>
      </c>
      <c r="U39" s="49">
        <f t="shared" si="89"/>
        <v>0</v>
      </c>
      <c r="V39" s="49">
        <f t="shared" si="89"/>
        <v>0</v>
      </c>
      <c r="W39" s="49">
        <f t="shared" si="89"/>
        <v>0</v>
      </c>
      <c r="X39" s="49">
        <f t="shared" si="89"/>
        <v>0</v>
      </c>
      <c r="Y39" s="49">
        <f t="shared" si="89"/>
        <v>0</v>
      </c>
      <c r="Z39" s="49">
        <f t="shared" si="89"/>
        <v>0</v>
      </c>
      <c r="AA39" s="49">
        <f t="shared" si="89"/>
        <v>0</v>
      </c>
      <c r="AB39" s="49">
        <f t="shared" si="89"/>
        <v>0</v>
      </c>
      <c r="AC39" s="49">
        <f t="shared" si="89"/>
        <v>4.4012293278681551E-2</v>
      </c>
      <c r="AD39" s="49">
        <f t="shared" si="89"/>
        <v>0</v>
      </c>
      <c r="AE39" s="49">
        <f t="shared" si="89"/>
        <v>1.3675029387860407E-2</v>
      </c>
      <c r="AF39" s="49">
        <f t="shared" si="89"/>
        <v>2.6567843953663666E-2</v>
      </c>
      <c r="AG39" s="49">
        <f t="shared" si="89"/>
        <v>2.2580426765727007E-3</v>
      </c>
      <c r="AH39" s="49">
        <f t="shared" ref="AH39:AW39" si="90">IF((AH25+AH24)/2&gt;AH38,(AH25+AH24)/2,0)</f>
        <v>0</v>
      </c>
      <c r="AI39" s="49">
        <f t="shared" si="90"/>
        <v>9.895356593494953E-4</v>
      </c>
      <c r="AJ39" s="49">
        <f t="shared" si="90"/>
        <v>0</v>
      </c>
      <c r="AK39" s="49">
        <f t="shared" si="90"/>
        <v>1.4055732730107824E-3</v>
      </c>
      <c r="AL39" s="49">
        <f t="shared" si="90"/>
        <v>0</v>
      </c>
      <c r="AM39" s="49">
        <f t="shared" si="90"/>
        <v>7.9872365427523604E-3</v>
      </c>
      <c r="AN39" s="49">
        <f t="shared" si="90"/>
        <v>1.2275137964421102E-2</v>
      </c>
      <c r="AO39" s="49">
        <f t="shared" si="90"/>
        <v>2.9262910938366991E-2</v>
      </c>
      <c r="AP39" s="49">
        <f t="shared" si="90"/>
        <v>0</v>
      </c>
      <c r="AQ39" s="49">
        <f t="shared" si="90"/>
        <v>2.2587624836191713E-3</v>
      </c>
      <c r="AR39" s="49">
        <f t="shared" si="90"/>
        <v>0</v>
      </c>
      <c r="AS39" s="49">
        <f t="shared" si="90"/>
        <v>1.3997638982611081E-4</v>
      </c>
      <c r="AT39" s="49">
        <f t="shared" si="90"/>
        <v>3.3576611718779477E-3</v>
      </c>
      <c r="AU39" s="49">
        <f t="shared" si="90"/>
        <v>2.0652683622010637E-3</v>
      </c>
      <c r="AV39" s="49">
        <f t="shared" si="90"/>
        <v>6.9715945538276387E-4</v>
      </c>
      <c r="AW39" s="49">
        <f t="shared" si="90"/>
        <v>1.1343481654372217E-2</v>
      </c>
      <c r="AX39" s="49">
        <f t="shared" ref="AX39:BE39" si="91">IF((AX25+AX24)/2&gt;AX38,(AX25+AX24)/2,0)</f>
        <v>0</v>
      </c>
      <c r="AY39" s="49">
        <f t="shared" si="91"/>
        <v>0</v>
      </c>
      <c r="AZ39" s="49">
        <f t="shared" si="91"/>
        <v>0</v>
      </c>
      <c r="BA39" s="49">
        <f t="shared" si="91"/>
        <v>0</v>
      </c>
      <c r="BB39" s="49">
        <f t="shared" si="91"/>
        <v>0</v>
      </c>
      <c r="BC39" s="49">
        <f t="shared" si="91"/>
        <v>0</v>
      </c>
      <c r="BD39" s="49">
        <f t="shared" si="91"/>
        <v>0</v>
      </c>
      <c r="BE39" s="49">
        <f t="shared" si="91"/>
        <v>0</v>
      </c>
    </row>
    <row r="40" spans="1:57" s="5" customFormat="1" hidden="1">
      <c r="A40" s="15" t="s">
        <v>446</v>
      </c>
      <c r="B40" s="49">
        <f t="shared" ref="B40:AG40" si="92">B23</f>
        <v>6.140469173646074E-3</v>
      </c>
      <c r="C40" s="49">
        <f t="shared" si="92"/>
        <v>3.1477957509094914E-3</v>
      </c>
      <c r="D40" s="49">
        <f t="shared" si="92"/>
        <v>2.1092303278981341E-3</v>
      </c>
      <c r="E40" s="49">
        <f t="shared" si="92"/>
        <v>0</v>
      </c>
      <c r="F40" s="49">
        <f t="shared" si="92"/>
        <v>2.3974841232244941E-3</v>
      </c>
      <c r="G40" s="49">
        <f t="shared" si="92"/>
        <v>2.7072181866380691E-3</v>
      </c>
      <c r="H40" s="49">
        <f t="shared" si="92"/>
        <v>3.2582504315039583E-3</v>
      </c>
      <c r="I40" s="49">
        <f t="shared" si="92"/>
        <v>2.4290211567924978E-3</v>
      </c>
      <c r="J40" s="49">
        <f t="shared" si="92"/>
        <v>2.1912426319846191E-3</v>
      </c>
      <c r="K40" s="49">
        <f t="shared" si="92"/>
        <v>2.9996980370154435E-3</v>
      </c>
      <c r="L40" s="49">
        <f t="shared" si="92"/>
        <v>2.4114516767982045E-3</v>
      </c>
      <c r="M40" s="49">
        <f t="shared" si="92"/>
        <v>1.8841846739546702E-3</v>
      </c>
      <c r="N40" s="49">
        <f t="shared" si="92"/>
        <v>1.882190142986665E-3</v>
      </c>
      <c r="O40" s="49">
        <f t="shared" si="92"/>
        <v>3.2086332414360888E-3</v>
      </c>
      <c r="P40" s="49">
        <f t="shared" si="92"/>
        <v>3.9987108121046595E-3</v>
      </c>
      <c r="Q40" s="49">
        <f t="shared" si="92"/>
        <v>1.8613892728114533E-3</v>
      </c>
      <c r="R40" s="49">
        <f t="shared" si="92"/>
        <v>1.0668330796907131E-3</v>
      </c>
      <c r="S40" s="49">
        <f t="shared" si="92"/>
        <v>3.2104949111722227E-3</v>
      </c>
      <c r="T40" s="49">
        <f t="shared" si="92"/>
        <v>2.399935846635943E-3</v>
      </c>
      <c r="U40" s="49">
        <f t="shared" si="92"/>
        <v>4.2931597593602582E-3</v>
      </c>
      <c r="V40" s="49">
        <f t="shared" si="92"/>
        <v>2.9052084975999702E-3</v>
      </c>
      <c r="W40" s="49">
        <f t="shared" si="92"/>
        <v>5.2006000544115973E-3</v>
      </c>
      <c r="X40" s="49">
        <f t="shared" si="92"/>
        <v>3.3420729860997264E-3</v>
      </c>
      <c r="Y40" s="49">
        <f t="shared" si="92"/>
        <v>2.8243244707015281E-3</v>
      </c>
      <c r="Z40" s="49">
        <f t="shared" si="92"/>
        <v>4.5649109276009667E-3</v>
      </c>
      <c r="AA40" s="49">
        <f t="shared" si="92"/>
        <v>1.8346165235732636E-3</v>
      </c>
      <c r="AB40" s="49">
        <f t="shared" si="92"/>
        <v>2.0675633440132694E-3</v>
      </c>
      <c r="AC40" s="49">
        <f t="shared" si="92"/>
        <v>2.077986753144636E-3</v>
      </c>
      <c r="AD40" s="49">
        <f t="shared" si="92"/>
        <v>1.8213921527225189E-3</v>
      </c>
      <c r="AE40" s="49">
        <f t="shared" si="92"/>
        <v>3.2270099210822667E-3</v>
      </c>
      <c r="AF40" s="49">
        <f t="shared" si="92"/>
        <v>1.8577829418937183E-3</v>
      </c>
      <c r="AG40" s="49">
        <f t="shared" si="92"/>
        <v>2.1481079329948812E-3</v>
      </c>
      <c r="AH40" s="49">
        <f t="shared" ref="AH40:BE40" si="93">AH23</f>
        <v>1.3407200474738537E-3</v>
      </c>
      <c r="AI40" s="49">
        <f t="shared" si="93"/>
        <v>2.4206381162324197E-3</v>
      </c>
      <c r="AJ40" s="49">
        <f t="shared" si="93"/>
        <v>2.9383356223591835E-3</v>
      </c>
      <c r="AK40" s="49">
        <f t="shared" si="93"/>
        <v>2.6742834663717042E-3</v>
      </c>
      <c r="AL40" s="49">
        <f t="shared" si="93"/>
        <v>8.1305287154324879E-4</v>
      </c>
      <c r="AM40" s="49">
        <f t="shared" si="93"/>
        <v>3.4603735960156245E-3</v>
      </c>
      <c r="AN40" s="49">
        <f t="shared" si="93"/>
        <v>4.7691447352620131E-3</v>
      </c>
      <c r="AO40" s="49">
        <f t="shared" si="93"/>
        <v>3.4543106481937673E-3</v>
      </c>
      <c r="AP40" s="49">
        <f t="shared" si="93"/>
        <v>1.8484741430837444E-3</v>
      </c>
      <c r="AQ40" s="49">
        <f t="shared" si="93"/>
        <v>1.5948644537464162E-3</v>
      </c>
      <c r="AR40" s="49">
        <f t="shared" si="93"/>
        <v>2.1373778412402669E-3</v>
      </c>
      <c r="AS40" s="49">
        <f t="shared" si="93"/>
        <v>3.9948455784791044E-3</v>
      </c>
      <c r="AT40" s="49">
        <f t="shared" si="93"/>
        <v>2.1294603727529649E-3</v>
      </c>
      <c r="AU40" s="49">
        <f t="shared" si="93"/>
        <v>4.0340362618750871E-3</v>
      </c>
      <c r="AV40" s="49">
        <f t="shared" si="93"/>
        <v>3.4487317779593016E-3</v>
      </c>
      <c r="AW40" s="49">
        <f t="shared" si="93"/>
        <v>7.7027040051839942E-3</v>
      </c>
      <c r="AX40" s="49">
        <f t="shared" si="93"/>
        <v>3.459372330461848E-3</v>
      </c>
      <c r="AY40" s="49">
        <f t="shared" si="93"/>
        <v>2.9388352744679205E-3</v>
      </c>
      <c r="AZ40" s="49">
        <f t="shared" si="93"/>
        <v>2.7133900190191461E-4</v>
      </c>
      <c r="BA40" s="49">
        <f t="shared" si="93"/>
        <v>2.3481788978873077E-3</v>
      </c>
      <c r="BB40" s="49">
        <f t="shared" si="93"/>
        <v>2.9463152904709309E-3</v>
      </c>
      <c r="BC40" s="49">
        <f t="shared" si="93"/>
        <v>2.699605694050331E-3</v>
      </c>
      <c r="BD40" s="49">
        <f t="shared" si="93"/>
        <v>4.3444075373917507E-3</v>
      </c>
      <c r="BE40" s="49">
        <f t="shared" si="93"/>
        <v>2.156898959626861E-3</v>
      </c>
    </row>
    <row r="41" spans="1:57" s="5" customFormat="1" hidden="1">
      <c r="A41" s="15" t="s">
        <v>447</v>
      </c>
      <c r="B41" s="49">
        <f t="shared" ref="B41:Q41" si="94">(B21+B22-B37-2*B23)/2</f>
        <v>5.4158012199052689E-2</v>
      </c>
      <c r="C41" s="49">
        <f t="shared" si="94"/>
        <v>8.19363408955078E-3</v>
      </c>
      <c r="D41" s="49">
        <f t="shared" si="94"/>
        <v>6.1194546651471646E-3</v>
      </c>
      <c r="E41" s="49">
        <f t="shared" si="94"/>
        <v>5.9887234377753451E-3</v>
      </c>
      <c r="F41" s="49">
        <f t="shared" si="94"/>
        <v>1.2374234426655303E-2</v>
      </c>
      <c r="G41" s="49">
        <f t="shared" si="94"/>
        <v>1.7237788376071308E-4</v>
      </c>
      <c r="H41" s="49">
        <f t="shared" si="94"/>
        <v>-3.2582504315039583E-3</v>
      </c>
      <c r="I41" s="49">
        <f t="shared" si="94"/>
        <v>9.072193256483287E-3</v>
      </c>
      <c r="J41" s="49">
        <f t="shared" si="94"/>
        <v>-2.1912426319846191E-3</v>
      </c>
      <c r="K41" s="49">
        <f t="shared" si="94"/>
        <v>1.0724601894159967E-2</v>
      </c>
      <c r="L41" s="49">
        <f t="shared" si="94"/>
        <v>3.7702355164039077E-3</v>
      </c>
      <c r="M41" s="49">
        <f t="shared" si="94"/>
        <v>2.5979310064943133E-3</v>
      </c>
      <c r="N41" s="49">
        <f t="shared" si="94"/>
        <v>1.1510495781616636E-3</v>
      </c>
      <c r="O41" s="49">
        <f t="shared" si="94"/>
        <v>8.7572192877198515E-3</v>
      </c>
      <c r="P41" s="49">
        <f t="shared" si="94"/>
        <v>1.3726046065702007E-3</v>
      </c>
      <c r="Q41" s="49">
        <f t="shared" si="94"/>
        <v>1.1305804966069232E-2</v>
      </c>
      <c r="R41" s="49">
        <f t="shared" ref="R41:AG41" si="95">(R21+R22-R37-2*R23)/2</f>
        <v>1.6418115838925915E-2</v>
      </c>
      <c r="S41" s="49">
        <f t="shared" si="95"/>
        <v>9.960804529971036E-3</v>
      </c>
      <c r="T41" s="49">
        <f t="shared" si="95"/>
        <v>9.7687012507805034E-3</v>
      </c>
      <c r="U41" s="49">
        <f t="shared" si="95"/>
        <v>1.4559261478124504E-2</v>
      </c>
      <c r="V41" s="49">
        <f t="shared" si="95"/>
        <v>1.3792101472194934E-2</v>
      </c>
      <c r="W41" s="49">
        <f t="shared" si="95"/>
        <v>4.0901224100241534E-4</v>
      </c>
      <c r="X41" s="49">
        <f t="shared" si="95"/>
        <v>3.6258216244018974E-3</v>
      </c>
      <c r="Y41" s="49">
        <f t="shared" si="95"/>
        <v>4.5484050027867987E-3</v>
      </c>
      <c r="Z41" s="49">
        <f t="shared" si="95"/>
        <v>2.4261494490093245E-2</v>
      </c>
      <c r="AA41" s="49">
        <f t="shared" si="95"/>
        <v>3.1276504371616706E-2</v>
      </c>
      <c r="AB41" s="49">
        <f t="shared" si="95"/>
        <v>3.2110641036689355E-2</v>
      </c>
      <c r="AC41" s="49">
        <f t="shared" si="95"/>
        <v>3.3793348514537636E-2</v>
      </c>
      <c r="AD41" s="49">
        <f t="shared" si="95"/>
        <v>1.0580967151845049E-2</v>
      </c>
      <c r="AE41" s="49">
        <f t="shared" si="95"/>
        <v>9.3376251044524645E-3</v>
      </c>
      <c r="AF41" s="49">
        <f t="shared" si="95"/>
        <v>1.4809353995108007E-2</v>
      </c>
      <c r="AG41" s="49">
        <f t="shared" si="95"/>
        <v>7.1408097490076646E-3</v>
      </c>
      <c r="AH41" s="49">
        <f t="shared" ref="AH41:AW41" si="96">(AH21+AH22-AH37-2*AH23)/2</f>
        <v>8.7194853911012307E-4</v>
      </c>
      <c r="AI41" s="49">
        <f t="shared" si="96"/>
        <v>5.1833347304996126E-3</v>
      </c>
      <c r="AJ41" s="49">
        <f t="shared" si="96"/>
        <v>2.5467013158750277E-3</v>
      </c>
      <c r="AK41" s="49">
        <f t="shared" si="96"/>
        <v>4.3895093327996487E-3</v>
      </c>
      <c r="AL41" s="49">
        <f t="shared" si="96"/>
        <v>7.2834162529306773E-3</v>
      </c>
      <c r="AM41" s="49">
        <f t="shared" si="96"/>
        <v>9.4236566310244747E-3</v>
      </c>
      <c r="AN41" s="49">
        <f t="shared" si="96"/>
        <v>1.4818990227216257E-2</v>
      </c>
      <c r="AO41" s="49">
        <f t="shared" si="96"/>
        <v>2.033513384576471E-2</v>
      </c>
      <c r="AP41" s="49">
        <f t="shared" si="96"/>
        <v>2.3959334030680856E-2</v>
      </c>
      <c r="AQ41" s="49">
        <f t="shared" si="96"/>
        <v>1.4927664225043838E-2</v>
      </c>
      <c r="AR41" s="49">
        <f t="shared" si="96"/>
        <v>4.7571211613921258E-3</v>
      </c>
      <c r="AS41" s="49">
        <f t="shared" si="96"/>
        <v>1.034090882771212E-2</v>
      </c>
      <c r="AT41" s="49">
        <f t="shared" si="96"/>
        <v>1.0424159925585904E-2</v>
      </c>
      <c r="AU41" s="49">
        <f t="shared" si="96"/>
        <v>1.1643483660152451E-2</v>
      </c>
      <c r="AV41" s="49">
        <f t="shared" si="96"/>
        <v>0.61266928750285521</v>
      </c>
      <c r="AW41" s="49">
        <f t="shared" si="96"/>
        <v>6.5862501557380241E-3</v>
      </c>
      <c r="AX41" s="49">
        <f t="shared" ref="AX41:BE41" si="97">(AX21+AX22-AX37-2*AX23)/2</f>
        <v>5.9846976590119325E-3</v>
      </c>
      <c r="AY41" s="49">
        <f t="shared" si="97"/>
        <v>8.7897546097644441E-3</v>
      </c>
      <c r="AZ41" s="49">
        <f t="shared" si="97"/>
        <v>-2.7133900190191461E-4</v>
      </c>
      <c r="BA41" s="49">
        <f t="shared" si="97"/>
        <v>1.0655537263606898E-2</v>
      </c>
      <c r="BB41" s="49">
        <f t="shared" si="97"/>
        <v>1.4405754015701924E-3</v>
      </c>
      <c r="BC41" s="49">
        <f t="shared" si="97"/>
        <v>-9.6473211908295383E-4</v>
      </c>
      <c r="BD41" s="49">
        <f t="shared" si="97"/>
        <v>8.102604130688501E-4</v>
      </c>
      <c r="BE41" s="49">
        <f t="shared" si="97"/>
        <v>-3.8918330638056759E-4</v>
      </c>
    </row>
    <row r="42" spans="1:57" s="5" customFormat="1" hidden="1">
      <c r="A42" s="15" t="s">
        <v>448</v>
      </c>
      <c r="B42" s="49">
        <f t="shared" ref="B42:Q42" si="98">(B30-B39-B40-B41)*B27/(B26+B27)</f>
        <v>0.4353963412574644</v>
      </c>
      <c r="C42" s="49">
        <f t="shared" si="98"/>
        <v>0.44548995118375145</v>
      </c>
      <c r="D42" s="49">
        <f t="shared" si="98"/>
        <v>0.44275541130782875</v>
      </c>
      <c r="E42" s="49">
        <f t="shared" si="98"/>
        <v>0.43772354080061227</v>
      </c>
      <c r="F42" s="49">
        <f t="shared" si="98"/>
        <v>0.41492463550546577</v>
      </c>
      <c r="G42" s="49">
        <f t="shared" si="98"/>
        <v>0.39543904946673741</v>
      </c>
      <c r="H42" s="49">
        <f t="shared" si="98"/>
        <v>0.37687221767045992</v>
      </c>
      <c r="I42" s="49">
        <f t="shared" si="98"/>
        <v>0.39735317187601205</v>
      </c>
      <c r="J42" s="49">
        <f t="shared" si="98"/>
        <v>0.38612256312243642</v>
      </c>
      <c r="K42" s="49">
        <f t="shared" si="98"/>
        <v>0.43278258277604748</v>
      </c>
      <c r="L42" s="49">
        <f t="shared" si="98"/>
        <v>0.35692690137228045</v>
      </c>
      <c r="M42" s="49">
        <f t="shared" si="98"/>
        <v>0.37782022693039036</v>
      </c>
      <c r="N42" s="49">
        <f t="shared" si="98"/>
        <v>0.37021224088917237</v>
      </c>
      <c r="O42" s="49">
        <f t="shared" si="98"/>
        <v>0.36681009432279316</v>
      </c>
      <c r="P42" s="49">
        <f t="shared" si="98"/>
        <v>0.40313426587161466</v>
      </c>
      <c r="Q42" s="49">
        <f t="shared" si="98"/>
        <v>0.36823791352874108</v>
      </c>
      <c r="R42" s="49">
        <f t="shared" ref="R42:AG42" si="99">(R30-R39-R40-R41)*R27/(R26+R27)</f>
        <v>0.41922957864385185</v>
      </c>
      <c r="S42" s="49">
        <f t="shared" si="99"/>
        <v>0.29152360931248916</v>
      </c>
      <c r="T42" s="49">
        <f t="shared" si="99"/>
        <v>0.27826260423522076</v>
      </c>
      <c r="U42" s="49">
        <f t="shared" si="99"/>
        <v>0.31790367576546402</v>
      </c>
      <c r="V42" s="49">
        <f t="shared" si="99"/>
        <v>0.36712030258066058</v>
      </c>
      <c r="W42" s="49">
        <f t="shared" si="99"/>
        <v>0.46816581719212369</v>
      </c>
      <c r="X42" s="49">
        <f t="shared" si="99"/>
        <v>0.49831596712430537</v>
      </c>
      <c r="Y42" s="49">
        <f t="shared" si="99"/>
        <v>0.48206674954228818</v>
      </c>
      <c r="Z42" s="49">
        <f t="shared" si="99"/>
        <v>0.63211980142155877</v>
      </c>
      <c r="AA42" s="49">
        <f t="shared" si="99"/>
        <v>0.54567450005939244</v>
      </c>
      <c r="AB42" s="49">
        <f t="shared" si="99"/>
        <v>0.4901673625099095</v>
      </c>
      <c r="AC42" s="49">
        <f t="shared" si="99"/>
        <v>0.48300279784781858</v>
      </c>
      <c r="AD42" s="49">
        <f t="shared" si="99"/>
        <v>0.47654578667490455</v>
      </c>
      <c r="AE42" s="49">
        <f t="shared" si="99"/>
        <v>0.48501915781189175</v>
      </c>
      <c r="AF42" s="49">
        <f t="shared" si="99"/>
        <v>0.38487888364410605</v>
      </c>
      <c r="AG42" s="49">
        <f t="shared" si="99"/>
        <v>0.3955079959094544</v>
      </c>
      <c r="AH42" s="49">
        <f t="shared" ref="AH42:AW42" si="100">(AH30-AH39-AH40-AH41)*AH27/(AH26+AH27)</f>
        <v>0.43500343011543224</v>
      </c>
      <c r="AI42" s="49">
        <f t="shared" si="100"/>
        <v>0.40331872365653232</v>
      </c>
      <c r="AJ42" s="49">
        <f t="shared" si="100"/>
        <v>0.42905116755308581</v>
      </c>
      <c r="AK42" s="49">
        <f t="shared" si="100"/>
        <v>0.45792943001967662</v>
      </c>
      <c r="AL42" s="49">
        <f t="shared" si="100"/>
        <v>0.38216101278595938</v>
      </c>
      <c r="AM42" s="49">
        <f t="shared" si="100"/>
        <v>0.37182598053504562</v>
      </c>
      <c r="AN42" s="49">
        <f t="shared" si="100"/>
        <v>0.36153277860903033</v>
      </c>
      <c r="AO42" s="49">
        <f t="shared" si="100"/>
        <v>0.39319068512562494</v>
      </c>
      <c r="AP42" s="49">
        <f t="shared" si="100"/>
        <v>0.49790518594965238</v>
      </c>
      <c r="AQ42" s="49">
        <f t="shared" si="100"/>
        <v>0.44432813155703277</v>
      </c>
      <c r="AR42" s="49">
        <f t="shared" si="100"/>
        <v>0.41556438695285947</v>
      </c>
      <c r="AS42" s="49">
        <f t="shared" si="100"/>
        <v>0.44151549848051558</v>
      </c>
      <c r="AT42" s="49">
        <f t="shared" si="100"/>
        <v>0.42132055216252184</v>
      </c>
      <c r="AU42" s="49">
        <f t="shared" si="100"/>
        <v>0.37857475079444508</v>
      </c>
      <c r="AV42" s="49">
        <f t="shared" si="100"/>
        <v>-0.26699491108391105</v>
      </c>
      <c r="AW42" s="49">
        <f t="shared" si="100"/>
        <v>0.30497674935264291</v>
      </c>
      <c r="AX42" s="49">
        <f t="shared" ref="AX42:BE42" si="101">(AX30-AX39-AX40-AX41)*AX27/(AX26+AX27)</f>
        <v>0.33089440645567952</v>
      </c>
      <c r="AY42" s="49">
        <f t="shared" si="101"/>
        <v>0.32267991351601455</v>
      </c>
      <c r="AZ42" s="49">
        <f t="shared" si="101"/>
        <v>0.33349159899942382</v>
      </c>
      <c r="BA42" s="49">
        <f t="shared" si="101"/>
        <v>0.35863707922977028</v>
      </c>
      <c r="BB42" s="49">
        <f t="shared" si="101"/>
        <v>0.3398132828229033</v>
      </c>
      <c r="BC42" s="49">
        <f t="shared" si="101"/>
        <v>0.3470793642995656</v>
      </c>
      <c r="BD42" s="49">
        <f t="shared" si="101"/>
        <v>0.34944823619244952</v>
      </c>
      <c r="BE42" s="49">
        <f t="shared" si="101"/>
        <v>0.33201824603810098</v>
      </c>
    </row>
    <row r="43" spans="1:57" s="5" customFormat="1" hidden="1">
      <c r="A43" s="15" t="s">
        <v>449</v>
      </c>
      <c r="B43" s="49">
        <f t="shared" ref="B43:Q43" si="102">(B30-B39-B40-B41)*B26/(B26+B27)</f>
        <v>0.25084403376572822</v>
      </c>
      <c r="C43" s="49">
        <f t="shared" si="102"/>
        <v>2.6782045277474655E-2</v>
      </c>
      <c r="D43" s="49">
        <f t="shared" si="102"/>
        <v>3.9602831253453624E-2</v>
      </c>
      <c r="E43" s="49">
        <f t="shared" si="102"/>
        <v>4.5372244668074553E-2</v>
      </c>
      <c r="F43" s="49">
        <f t="shared" si="102"/>
        <v>5.7626779912394926E-2</v>
      </c>
      <c r="G43" s="49">
        <f t="shared" si="102"/>
        <v>0.11197701763633218</v>
      </c>
      <c r="H43" s="49">
        <f t="shared" si="102"/>
        <v>0.13492961176708623</v>
      </c>
      <c r="I43" s="49">
        <f t="shared" si="102"/>
        <v>8.872437978590321E-2</v>
      </c>
      <c r="J43" s="49">
        <f t="shared" si="102"/>
        <v>0.12236890674901756</v>
      </c>
      <c r="K43" s="49">
        <f t="shared" si="102"/>
        <v>7.6064848256470516E-2</v>
      </c>
      <c r="L43" s="49">
        <f t="shared" si="102"/>
        <v>8.8497275990740462E-2</v>
      </c>
      <c r="M43" s="49">
        <f t="shared" si="102"/>
        <v>7.252743516195484E-2</v>
      </c>
      <c r="N43" s="49">
        <f t="shared" si="102"/>
        <v>8.684922568167569E-2</v>
      </c>
      <c r="O43" s="49">
        <f t="shared" si="102"/>
        <v>7.9898022437243685E-2</v>
      </c>
      <c r="P43" s="49">
        <f t="shared" si="102"/>
        <v>9.3984341335382998E-2</v>
      </c>
      <c r="Q43" s="49">
        <f t="shared" si="102"/>
        <v>7.3226040278949842E-2</v>
      </c>
      <c r="R43" s="49">
        <f t="shared" ref="R43:AG43" si="103">(R30-R39-R40-R41)*R26/(R26+R27)</f>
        <v>3.6756379988533719E-2</v>
      </c>
      <c r="S43" s="49">
        <f t="shared" si="103"/>
        <v>8.9577500075702393E-2</v>
      </c>
      <c r="T43" s="49">
        <f t="shared" si="103"/>
        <v>0.10203940741396599</v>
      </c>
      <c r="U43" s="49">
        <f t="shared" si="103"/>
        <v>7.3826108290915002E-2</v>
      </c>
      <c r="V43" s="49">
        <f t="shared" si="103"/>
        <v>5.305579970235514E-2</v>
      </c>
      <c r="W43" s="49">
        <f t="shared" si="103"/>
        <v>7.1938427523738843E-2</v>
      </c>
      <c r="X43" s="49">
        <f t="shared" si="103"/>
        <v>7.5267460646884735E-2</v>
      </c>
      <c r="Y43" s="49">
        <f t="shared" si="103"/>
        <v>7.6475242645492492E-2</v>
      </c>
      <c r="Z43" s="49">
        <f t="shared" si="103"/>
        <v>3.802728895633789E-2</v>
      </c>
      <c r="AA43" s="49">
        <f t="shared" si="103"/>
        <v>0</v>
      </c>
      <c r="AB43" s="49">
        <f t="shared" si="103"/>
        <v>0</v>
      </c>
      <c r="AC43" s="49">
        <f t="shared" si="103"/>
        <v>0</v>
      </c>
      <c r="AD43" s="49">
        <f t="shared" si="103"/>
        <v>4.5998571013216139E-2</v>
      </c>
      <c r="AE43" s="49">
        <f t="shared" si="103"/>
        <v>4.3145184147904136E-2</v>
      </c>
      <c r="AF43" s="49">
        <f t="shared" si="103"/>
        <v>4.945835490526352E-2</v>
      </c>
      <c r="AG43" s="49">
        <f t="shared" si="103"/>
        <v>9.3339662114077779E-2</v>
      </c>
      <c r="AH43" s="49">
        <f t="shared" ref="AH43:AW43" si="104">(AH30-AH39-AH40-AH41)*AH26/(AH26+AH27)</f>
        <v>7.1658881142813852E-2</v>
      </c>
      <c r="AI43" s="49">
        <f t="shared" si="104"/>
        <v>9.5828506802031352E-2</v>
      </c>
      <c r="AJ43" s="49">
        <f t="shared" si="104"/>
        <v>4.5757444966988643E-2</v>
      </c>
      <c r="AK43" s="49">
        <f t="shared" si="104"/>
        <v>6.5884233154663241E-2</v>
      </c>
      <c r="AL43" s="49">
        <f t="shared" si="104"/>
        <v>8.5071571709943353E-2</v>
      </c>
      <c r="AM43" s="49">
        <f t="shared" si="104"/>
        <v>7.415178669322682E-2</v>
      </c>
      <c r="AN43" s="49">
        <f t="shared" si="104"/>
        <v>6.9030604655233502E-2</v>
      </c>
      <c r="AO43" s="49">
        <f t="shared" si="104"/>
        <v>4.0609882651773517E-2</v>
      </c>
      <c r="AP43" s="49">
        <f t="shared" si="104"/>
        <v>0</v>
      </c>
      <c r="AQ43" s="49">
        <f t="shared" si="104"/>
        <v>6.1409397859073726E-2</v>
      </c>
      <c r="AR43" s="49">
        <f t="shared" si="104"/>
        <v>5.5261545440387208E-2</v>
      </c>
      <c r="AS43" s="49">
        <f t="shared" si="104"/>
        <v>6.5744056464861228E-2</v>
      </c>
      <c r="AT43" s="49">
        <f t="shared" si="104"/>
        <v>7.0954695141264845E-2</v>
      </c>
      <c r="AU43" s="49">
        <f t="shared" si="104"/>
        <v>8.4556176020462684E-2</v>
      </c>
      <c r="AV43" s="49">
        <f t="shared" si="104"/>
        <v>-0.33243374732869418</v>
      </c>
      <c r="AW43" s="49">
        <f t="shared" si="104"/>
        <v>8.9068165824333287E-2</v>
      </c>
      <c r="AX43" s="49">
        <f t="shared" ref="AX43:BE43" si="105">(AX30-AX39-AX40-AX41)*AX26/(AX26+AX27)</f>
        <v>8.3912466245461725E-2</v>
      </c>
      <c r="AY43" s="49">
        <f t="shared" si="105"/>
        <v>0.10523769016517077</v>
      </c>
      <c r="AZ43" s="49">
        <f t="shared" si="105"/>
        <v>9.3690726400346036E-2</v>
      </c>
      <c r="BA43" s="49">
        <f t="shared" si="105"/>
        <v>5.1387783038520277E-2</v>
      </c>
      <c r="BB43" s="49">
        <f t="shared" si="105"/>
        <v>0.12289644860177182</v>
      </c>
      <c r="BC43" s="49">
        <f t="shared" si="105"/>
        <v>8.1582723349114289E-2</v>
      </c>
      <c r="BD43" s="49">
        <f t="shared" si="105"/>
        <v>0.11504029414129052</v>
      </c>
      <c r="BE43" s="49">
        <f t="shared" si="105"/>
        <v>8.3763696413682073E-2</v>
      </c>
    </row>
    <row r="44" spans="1:57" s="5" customFormat="1" hidden="1">
      <c r="A44" s="15" t="s">
        <v>450</v>
      </c>
      <c r="B44" s="49">
        <f t="shared" ref="B44:Q44" si="106">(B27-B42)/2</f>
        <v>7.9040985172272704E-2</v>
      </c>
      <c r="C44" s="49">
        <f t="shared" si="106"/>
        <v>-4.421294604316367E-3</v>
      </c>
      <c r="D44" s="49">
        <f t="shared" si="106"/>
        <v>5.1124748916985541E-3</v>
      </c>
      <c r="E44" s="49">
        <f t="shared" si="106"/>
        <v>3.721219623404326E-4</v>
      </c>
      <c r="F44" s="49">
        <f t="shared" si="106"/>
        <v>4.747532724411363E-3</v>
      </c>
      <c r="G44" s="49">
        <f t="shared" si="106"/>
        <v>3.0014126571705796E-2</v>
      </c>
      <c r="H44" s="49">
        <f t="shared" si="106"/>
        <v>2.624922016069714E-2</v>
      </c>
      <c r="I44" s="49">
        <f t="shared" si="106"/>
        <v>2.7021301960191951E-2</v>
      </c>
      <c r="J44" s="49">
        <f t="shared" si="106"/>
        <v>4.2235420165995519E-2</v>
      </c>
      <c r="K44" s="49">
        <f t="shared" si="106"/>
        <v>1.2736076529532181E-2</v>
      </c>
      <c r="L44" s="49">
        <f t="shared" si="106"/>
        <v>2.1974182521825619E-2</v>
      </c>
      <c r="M44" s="49">
        <f t="shared" si="106"/>
        <v>1.9648648512378714E-2</v>
      </c>
      <c r="N44" s="49">
        <f t="shared" si="106"/>
        <v>2.0034866245763505E-2</v>
      </c>
      <c r="O44" s="49">
        <f t="shared" si="106"/>
        <v>1.1850140137274423E-2</v>
      </c>
      <c r="P44" s="49">
        <f t="shared" si="106"/>
        <v>2.5324333457275028E-2</v>
      </c>
      <c r="Q44" s="49">
        <f t="shared" si="106"/>
        <v>2.1126184351803218E-2</v>
      </c>
      <c r="R44" s="49">
        <f t="shared" ref="R44:AG44" si="107">(R27-R42)/2</f>
        <v>2.0581100360157478E-3</v>
      </c>
      <c r="S44" s="49">
        <f t="shared" si="107"/>
        <v>2.0182110863416397E-2</v>
      </c>
      <c r="T44" s="49">
        <f t="shared" si="107"/>
        <v>2.890785677374591E-2</v>
      </c>
      <c r="U44" s="49">
        <f t="shared" si="107"/>
        <v>1.1996270879176457E-2</v>
      </c>
      <c r="V44" s="49">
        <f t="shared" si="107"/>
        <v>-1.1648446594099138E-3</v>
      </c>
      <c r="W44" s="49">
        <f t="shared" si="107"/>
        <v>2.2787974659421839E-2</v>
      </c>
      <c r="X44" s="49">
        <f t="shared" si="107"/>
        <v>2.3396051275133556E-2</v>
      </c>
      <c r="Y44" s="49">
        <f t="shared" si="107"/>
        <v>1.1840840661979296E-2</v>
      </c>
      <c r="Z44" s="49">
        <f t="shared" si="107"/>
        <v>-1.8072659603494134E-2</v>
      </c>
      <c r="AA44" s="49">
        <f t="shared" si="107"/>
        <v>1.4112465740608593E-2</v>
      </c>
      <c r="AB44" s="49">
        <f t="shared" si="107"/>
        <v>1.4062975058444588E-2</v>
      </c>
      <c r="AC44" s="49">
        <f t="shared" si="107"/>
        <v>2.7444755198095833E-2</v>
      </c>
      <c r="AD44" s="49">
        <f t="shared" si="107"/>
        <v>2.3921037295293324E-2</v>
      </c>
      <c r="AE44" s="49">
        <f t="shared" si="107"/>
        <v>2.8203365639342559E-2</v>
      </c>
      <c r="AF44" s="49">
        <f t="shared" si="107"/>
        <v>2.6345041368990657E-2</v>
      </c>
      <c r="AG44" s="49">
        <f t="shared" si="107"/>
        <v>2.4929395149417083E-2</v>
      </c>
      <c r="AH44" s="49">
        <f t="shared" ref="AH44:AW44" si="108">(AH27-AH42)/2</f>
        <v>2.4801511617290689E-2</v>
      </c>
      <c r="AI44" s="49">
        <f t="shared" si="108"/>
        <v>1.9262222398886641E-2</v>
      </c>
      <c r="AJ44" s="49">
        <f t="shared" si="108"/>
        <v>7.0033377845811207E-3</v>
      </c>
      <c r="AK44" s="49">
        <f t="shared" si="108"/>
        <v>2.0111096033456843E-2</v>
      </c>
      <c r="AL44" s="49">
        <f t="shared" si="108"/>
        <v>1.944748946541805E-2</v>
      </c>
      <c r="AM44" s="49">
        <f t="shared" si="108"/>
        <v>3.1936197352365775E-2</v>
      </c>
      <c r="AN44" s="49">
        <f t="shared" si="108"/>
        <v>3.2925806999229867E-2</v>
      </c>
      <c r="AO44" s="49">
        <f t="shared" si="108"/>
        <v>3.1403263210930898E-2</v>
      </c>
      <c r="AP44" s="49">
        <f t="shared" si="108"/>
        <v>5.1042108011302156E-3</v>
      </c>
      <c r="AQ44" s="49">
        <f t="shared" si="108"/>
        <v>3.383303883957467E-2</v>
      </c>
      <c r="AR44" s="49">
        <f t="shared" si="108"/>
        <v>1.7494952755818277E-2</v>
      </c>
      <c r="AS44" s="49">
        <f t="shared" si="108"/>
        <v>3.2830067735090923E-2</v>
      </c>
      <c r="AT44" s="49">
        <f t="shared" si="108"/>
        <v>3.8046448880502876E-2</v>
      </c>
      <c r="AU44" s="49">
        <f t="shared" si="108"/>
        <v>2.7350977218737499E-2</v>
      </c>
      <c r="AV44" s="49">
        <f t="shared" si="108"/>
        <v>0.14190873970126408</v>
      </c>
      <c r="AW44" s="49">
        <f t="shared" si="108"/>
        <v>3.0416919504657414E-2</v>
      </c>
      <c r="AX44" s="49">
        <f t="shared" ref="AX44:BE44" si="109">(AX27-AX42)/2</f>
        <v>2.0435650947174228E-2</v>
      </c>
      <c r="AY44" s="49">
        <f t="shared" si="109"/>
        <v>3.2696257921353694E-2</v>
      </c>
      <c r="AZ44" s="49">
        <f t="shared" si="109"/>
        <v>2.6825506321386111E-2</v>
      </c>
      <c r="BA44" s="49">
        <f t="shared" si="109"/>
        <v>2.025466547027141E-2</v>
      </c>
      <c r="BB44" s="49">
        <f t="shared" si="109"/>
        <v>3.9219831201281002E-2</v>
      </c>
      <c r="BC44" s="49">
        <f t="shared" si="109"/>
        <v>2.4932891332768159E-2</v>
      </c>
      <c r="BD44" s="49">
        <f t="shared" si="109"/>
        <v>2.5167990769209142E-2</v>
      </c>
      <c r="BE44" s="49">
        <f t="shared" si="109"/>
        <v>2.1521927429980214E-2</v>
      </c>
    </row>
    <row r="45" spans="1:57" s="5" customFormat="1" hidden="1">
      <c r="A45" s="15" t="s">
        <v>451</v>
      </c>
      <c r="B45" s="49">
        <f t="shared" ref="B45:Q45" si="110">(B26-B43)/2</f>
        <v>4.5537726605988316E-2</v>
      </c>
      <c r="C45" s="49">
        <f t="shared" si="110"/>
        <v>-2.6580018688011735E-4</v>
      </c>
      <c r="D45" s="49">
        <f t="shared" si="110"/>
        <v>4.5729193873745438E-4</v>
      </c>
      <c r="E45" s="49">
        <f t="shared" si="110"/>
        <v>3.8572311397266218E-5</v>
      </c>
      <c r="F45" s="49">
        <f t="shared" si="110"/>
        <v>6.5936076102895286E-4</v>
      </c>
      <c r="G45" s="49">
        <f t="shared" si="110"/>
        <v>8.4991413594365031E-3</v>
      </c>
      <c r="H45" s="49">
        <f t="shared" si="110"/>
        <v>9.3978725929026036E-3</v>
      </c>
      <c r="I45" s="49">
        <f t="shared" si="110"/>
        <v>6.0335450352809253E-3</v>
      </c>
      <c r="J45" s="49">
        <f t="shared" si="110"/>
        <v>1.3385133854919164E-2</v>
      </c>
      <c r="K45" s="49">
        <f t="shared" si="110"/>
        <v>2.2384628382860969E-3</v>
      </c>
      <c r="L45" s="49">
        <f t="shared" si="110"/>
        <v>5.4483293016812998E-3</v>
      </c>
      <c r="M45" s="49">
        <f t="shared" si="110"/>
        <v>3.7718099228820356E-3</v>
      </c>
      <c r="N45" s="49">
        <f t="shared" si="110"/>
        <v>4.7000407547339723E-3</v>
      </c>
      <c r="O45" s="49">
        <f t="shared" si="110"/>
        <v>2.581179681874414E-3</v>
      </c>
      <c r="P45" s="49">
        <f t="shared" si="110"/>
        <v>5.9039655053722967E-3</v>
      </c>
      <c r="Q45" s="49">
        <f t="shared" si="110"/>
        <v>4.2010525517626254E-3</v>
      </c>
      <c r="R45" s="49">
        <f t="shared" ref="R45:AG45" si="111">(R26-R43)/2</f>
        <v>1.8044689209840981E-4</v>
      </c>
      <c r="S45" s="49">
        <f t="shared" si="111"/>
        <v>6.2014292484202788E-3</v>
      </c>
      <c r="T45" s="49">
        <f t="shared" si="111"/>
        <v>1.0600564107088435E-2</v>
      </c>
      <c r="U45" s="49">
        <f t="shared" si="111"/>
        <v>2.7858689928033989E-3</v>
      </c>
      <c r="V45" s="49">
        <f t="shared" si="111"/>
        <v>-1.68341997158903E-4</v>
      </c>
      <c r="W45" s="49">
        <f t="shared" si="111"/>
        <v>3.5016034986955838E-3</v>
      </c>
      <c r="X45" s="49">
        <f t="shared" si="111"/>
        <v>3.5338248918769591E-3</v>
      </c>
      <c r="Y45" s="49">
        <f t="shared" si="111"/>
        <v>1.8784352241909691E-3</v>
      </c>
      <c r="Z45" s="49">
        <f t="shared" si="111"/>
        <v>-1.0872215162474885E-3</v>
      </c>
      <c r="AA45" s="49">
        <f t="shared" si="111"/>
        <v>0</v>
      </c>
      <c r="AB45" s="49">
        <f t="shared" si="111"/>
        <v>0</v>
      </c>
      <c r="AC45" s="49">
        <f t="shared" si="111"/>
        <v>0</v>
      </c>
      <c r="AD45" s="49">
        <f t="shared" si="111"/>
        <v>2.3089775704763088E-3</v>
      </c>
      <c r="AE45" s="49">
        <f t="shared" si="111"/>
        <v>2.5088481238344021E-3</v>
      </c>
      <c r="AF45" s="49">
        <f t="shared" si="111"/>
        <v>3.385434902753056E-3</v>
      </c>
      <c r="AG45" s="49">
        <f t="shared" si="111"/>
        <v>5.8833230782207174E-3</v>
      </c>
      <c r="AH45" s="49">
        <f t="shared" ref="AH45:AW45" si="112">(AH26-AH43)/2</f>
        <v>4.0855966875340266E-3</v>
      </c>
      <c r="AI45" s="49">
        <f t="shared" si="112"/>
        <v>4.5767029941954779E-3</v>
      </c>
      <c r="AJ45" s="49">
        <f t="shared" si="112"/>
        <v>7.4689190357127636E-4</v>
      </c>
      <c r="AK45" s="49">
        <f t="shared" si="112"/>
        <v>2.8934679738909994E-3</v>
      </c>
      <c r="AL45" s="49">
        <f t="shared" si="112"/>
        <v>4.3291399155944016E-3</v>
      </c>
      <c r="AM45" s="49">
        <f t="shared" si="112"/>
        <v>6.3689096992570679E-3</v>
      </c>
      <c r="AN45" s="49">
        <f t="shared" si="112"/>
        <v>6.2868113222350683E-3</v>
      </c>
      <c r="AO45" s="49">
        <f t="shared" si="112"/>
        <v>3.2434207678933326E-3</v>
      </c>
      <c r="AP45" s="49">
        <f t="shared" si="112"/>
        <v>0</v>
      </c>
      <c r="AQ45" s="49">
        <f t="shared" si="112"/>
        <v>4.6759734424203329E-3</v>
      </c>
      <c r="AR45" s="49">
        <f t="shared" si="112"/>
        <v>2.3264701140108743E-3</v>
      </c>
      <c r="AS45" s="49">
        <f t="shared" si="112"/>
        <v>4.888575450576825E-3</v>
      </c>
      <c r="AT45" s="49">
        <f t="shared" si="112"/>
        <v>6.4074115721809224E-3</v>
      </c>
      <c r="AU45" s="49">
        <f t="shared" si="112"/>
        <v>6.1089495249907894E-3</v>
      </c>
      <c r="AV45" s="49">
        <f t="shared" si="112"/>
        <v>0.17668971264683481</v>
      </c>
      <c r="AW45" s="49">
        <f t="shared" si="112"/>
        <v>8.8832320367268972E-3</v>
      </c>
      <c r="AX45" s="49">
        <f t="shared" ref="AX45:BE45" si="113">(AX26-AX43)/2</f>
        <v>5.1823356238524937E-3</v>
      </c>
      <c r="AY45" s="49">
        <f t="shared" si="113"/>
        <v>1.0663442366756308E-2</v>
      </c>
      <c r="AZ45" s="49">
        <f t="shared" si="113"/>
        <v>7.536325295295021E-3</v>
      </c>
      <c r="BA45" s="49">
        <f t="shared" si="113"/>
        <v>2.9022162374829977E-3</v>
      </c>
      <c r="BB45" s="49">
        <f t="shared" si="113"/>
        <v>1.4184195300895208E-2</v>
      </c>
      <c r="BC45" s="49">
        <f t="shared" si="113"/>
        <v>5.8605995778507891E-3</v>
      </c>
      <c r="BD45" s="49">
        <f t="shared" si="113"/>
        <v>8.2854419085995196E-3</v>
      </c>
      <c r="BE45" s="49">
        <f t="shared" si="113"/>
        <v>5.4296901359911429E-3</v>
      </c>
    </row>
    <row r="46" spans="1:57" s="5" customFormat="1">
      <c r="A46" s="14" t="s">
        <v>452</v>
      </c>
      <c r="B46" s="49">
        <f t="shared" ref="B46:Q46" si="114">B42/(B37+B38+B39+B40+B41+B42+B43+B44+B45)</f>
        <v>0.43675549167101785</v>
      </c>
      <c r="C46" s="49">
        <f t="shared" si="114"/>
        <v>0.45113686832767785</v>
      </c>
      <c r="D46" s="49">
        <f t="shared" si="114"/>
        <v>0.4444452423761282</v>
      </c>
      <c r="E46" s="49">
        <f t="shared" si="114"/>
        <v>0.43916948916283077</v>
      </c>
      <c r="F46" s="49">
        <f t="shared" si="114"/>
        <v>0.4178862857931947</v>
      </c>
      <c r="G46" s="49">
        <f t="shared" si="114"/>
        <v>0.39565411181310489</v>
      </c>
      <c r="H46" s="49">
        <f t="shared" si="114"/>
        <v>0.37621466792405034</v>
      </c>
      <c r="I46" s="49">
        <f t="shared" si="114"/>
        <v>0.39982608629842442</v>
      </c>
      <c r="J46" s="49">
        <f t="shared" si="114"/>
        <v>0.38556795928411186</v>
      </c>
      <c r="K46" s="49">
        <f t="shared" si="114"/>
        <v>0.4357750576705553</v>
      </c>
      <c r="L46" s="49">
        <f t="shared" si="114"/>
        <v>0.35770917506235334</v>
      </c>
      <c r="M46" s="49">
        <f t="shared" si="114"/>
        <v>0.37865647635770933</v>
      </c>
      <c r="N46" s="49">
        <f t="shared" si="114"/>
        <v>0.37042542990658961</v>
      </c>
      <c r="O46" s="49">
        <f t="shared" si="114"/>
        <v>0.36892544669189697</v>
      </c>
      <c r="P46" s="49">
        <f t="shared" si="114"/>
        <v>0.40353237203011649</v>
      </c>
      <c r="Q46" s="49">
        <f t="shared" si="114"/>
        <v>0.37066629603755402</v>
      </c>
      <c r="R46" s="49">
        <f t="shared" ref="R46:AG46" si="115">R42/(R37+R38+R39+R40+R41+R42+R43+R44+R45)</f>
        <v>0.42276356719308134</v>
      </c>
      <c r="S46" s="49">
        <f t="shared" si="115"/>
        <v>0.29022263645046475</v>
      </c>
      <c r="T46" s="49">
        <f t="shared" si="115"/>
        <v>0.27803094487682217</v>
      </c>
      <c r="U46" s="49">
        <f t="shared" si="115"/>
        <v>0.3205715119207655</v>
      </c>
      <c r="V46" s="49">
        <f t="shared" si="115"/>
        <v>0.36972214056220687</v>
      </c>
      <c r="W46" s="49">
        <f t="shared" si="115"/>
        <v>0.47879121860115476</v>
      </c>
      <c r="X46" s="49">
        <f t="shared" si="115"/>
        <v>0.50362185735012976</v>
      </c>
      <c r="Y46" s="49">
        <f t="shared" si="115"/>
        <v>0.48399881097007064</v>
      </c>
      <c r="Z46" s="49">
        <f t="shared" si="115"/>
        <v>0.63988204882246669</v>
      </c>
      <c r="AA46" s="49">
        <f t="shared" si="115"/>
        <v>0.54353218243865475</v>
      </c>
      <c r="AB46" s="49">
        <f t="shared" si="115"/>
        <v>0.48716538045533003</v>
      </c>
      <c r="AC46" s="49">
        <f t="shared" si="115"/>
        <v>0.47843488054759042</v>
      </c>
      <c r="AD46" s="49">
        <f t="shared" si="115"/>
        <v>0.47992159026873804</v>
      </c>
      <c r="AE46" s="49">
        <f t="shared" si="115"/>
        <v>0.48404271744713495</v>
      </c>
      <c r="AF46" s="49">
        <f t="shared" si="115"/>
        <v>0.38262931218153806</v>
      </c>
      <c r="AG46" s="49">
        <f t="shared" si="115"/>
        <v>0.39665553364164474</v>
      </c>
      <c r="AH46" s="49">
        <f t="shared" ref="AH46:AW46" si="116">AH42/(AH37+AH38+AH39+AH40+AH41+AH42+AH43+AH44+AH45)</f>
        <v>0.43519316313684575</v>
      </c>
      <c r="AI46" s="49">
        <f t="shared" si="116"/>
        <v>0.40486799133120421</v>
      </c>
      <c r="AJ46" s="49">
        <f t="shared" si="116"/>
        <v>0.42966291327747291</v>
      </c>
      <c r="AK46" s="49">
        <f t="shared" si="116"/>
        <v>0.46015069258219815</v>
      </c>
      <c r="AL46" s="49">
        <f t="shared" si="116"/>
        <v>0.3852770768104935</v>
      </c>
      <c r="AM46" s="49">
        <f t="shared" si="116"/>
        <v>0.37193185983517479</v>
      </c>
      <c r="AN46" s="49">
        <f t="shared" si="116"/>
        <v>0.36216760608761461</v>
      </c>
      <c r="AO46" s="49">
        <f t="shared" si="116"/>
        <v>0.39206812737681784</v>
      </c>
      <c r="AP46" s="49">
        <f t="shared" si="116"/>
        <v>0.50436989019166711</v>
      </c>
      <c r="AQ46" s="49">
        <f t="shared" si="116"/>
        <v>0.44432813155703249</v>
      </c>
      <c r="AR46" s="49">
        <f t="shared" si="116"/>
        <v>0.41655518870439623</v>
      </c>
      <c r="AS46" s="49">
        <f t="shared" si="116"/>
        <v>0.44353659167282078</v>
      </c>
      <c r="AT46" s="49">
        <f t="shared" si="116"/>
        <v>0.4222535011539707</v>
      </c>
      <c r="AU46" s="49">
        <f t="shared" si="116"/>
        <v>0.3789562324686962</v>
      </c>
      <c r="AV46" s="49">
        <f t="shared" si="116"/>
        <v>-0.3279289258447397</v>
      </c>
      <c r="AW46" s="49">
        <f t="shared" si="116"/>
        <v>0.30653005435550745</v>
      </c>
      <c r="AX46" s="49">
        <f t="shared" ref="AX46:BE46" si="117">AX42/(AX37+AX38+AX39+AX40+AX41+AX42+AX43+AX44+AX45)</f>
        <v>0.33223709413759805</v>
      </c>
      <c r="AY46" s="49">
        <f t="shared" si="117"/>
        <v>0.32437150693877542</v>
      </c>
      <c r="AZ46" s="49">
        <f t="shared" si="117"/>
        <v>0.33319073317135489</v>
      </c>
      <c r="BA46" s="49">
        <f t="shared" si="117"/>
        <v>0.36114217745492638</v>
      </c>
      <c r="BB46" s="49">
        <f t="shared" si="117"/>
        <v>0.34077317378865185</v>
      </c>
      <c r="BC46" s="49">
        <f t="shared" si="117"/>
        <v>0.34736310734664116</v>
      </c>
      <c r="BD46" s="49">
        <f t="shared" si="117"/>
        <v>0.34989480487192498</v>
      </c>
      <c r="BE46" s="49">
        <f t="shared" si="117"/>
        <v>0.33205446448554454</v>
      </c>
    </row>
    <row r="47" spans="1:57" s="5" customFormat="1">
      <c r="A47" s="14" t="s">
        <v>453</v>
      </c>
      <c r="B47" s="49">
        <f t="shared" ref="B47:Q47" si="118">B43/(B37+B38+B39+B40+B41+B42+B43+B44+B45)</f>
        <v>0.25162707840787074</v>
      </c>
      <c r="C47" s="49">
        <f t="shared" si="118"/>
        <v>2.7121527661364397E-2</v>
      </c>
      <c r="D47" s="49">
        <f t="shared" si="118"/>
        <v>3.9753980382149827E-2</v>
      </c>
      <c r="E47" s="49">
        <f t="shared" si="118"/>
        <v>4.5522124482050251E-2</v>
      </c>
      <c r="F47" s="49">
        <f t="shared" si="118"/>
        <v>5.8038108512106834E-2</v>
      </c>
      <c r="G47" s="49">
        <f t="shared" si="118"/>
        <v>0.11203791713572299</v>
      </c>
      <c r="H47" s="49">
        <f t="shared" si="118"/>
        <v>0.13469419263073013</v>
      </c>
      <c r="I47" s="49">
        <f t="shared" si="118"/>
        <v>8.9276553051203369E-2</v>
      </c>
      <c r="J47" s="49">
        <f t="shared" si="118"/>
        <v>0.12219314321728872</v>
      </c>
      <c r="K47" s="49">
        <f t="shared" si="118"/>
        <v>7.6590798601565216E-2</v>
      </c>
      <c r="L47" s="49">
        <f t="shared" si="118"/>
        <v>8.8691234726785598E-2</v>
      </c>
      <c r="M47" s="49">
        <f t="shared" si="118"/>
        <v>7.2687963957916504E-2</v>
      </c>
      <c r="N47" s="49">
        <f t="shared" si="118"/>
        <v>8.6899238347496938E-2</v>
      </c>
      <c r="O47" s="49">
        <f t="shared" si="118"/>
        <v>8.03587853051832E-2</v>
      </c>
      <c r="P47" s="49">
        <f t="shared" si="118"/>
        <v>9.4077153453468412E-2</v>
      </c>
      <c r="Q47" s="49">
        <f t="shared" si="118"/>
        <v>7.370893687614978E-2</v>
      </c>
      <c r="R47" s="49">
        <f t="shared" ref="R47:AG47" si="119">R43/(R37+R38+R39+R40+R41+R42+R43+R44+R45)</f>
        <v>3.7066226031388809E-2</v>
      </c>
      <c r="S47" s="49">
        <f t="shared" si="119"/>
        <v>8.9177745500348057E-2</v>
      </c>
      <c r="T47" s="49">
        <f t="shared" si="119"/>
        <v>0.10195445750228864</v>
      </c>
      <c r="U47" s="49">
        <f t="shared" si="119"/>
        <v>7.4445654322993632E-2</v>
      </c>
      <c r="V47" s="49">
        <f t="shared" si="119"/>
        <v>5.3431814305297379E-2</v>
      </c>
      <c r="W47" s="49">
        <f t="shared" si="119"/>
        <v>7.3571128248791001E-2</v>
      </c>
      <c r="X47" s="49">
        <f t="shared" si="119"/>
        <v>7.6068881653065953E-2</v>
      </c>
      <c r="Y47" s="49">
        <f t="shared" si="119"/>
        <v>7.6781745565753956E-2</v>
      </c>
      <c r="Z47" s="49">
        <f t="shared" si="119"/>
        <v>3.8494253009988939E-2</v>
      </c>
      <c r="AA47" s="49">
        <f t="shared" si="119"/>
        <v>0</v>
      </c>
      <c r="AB47" s="49">
        <f t="shared" si="119"/>
        <v>0</v>
      </c>
      <c r="AC47" s="49">
        <f t="shared" si="119"/>
        <v>0</v>
      </c>
      <c r="AD47" s="49">
        <f t="shared" si="119"/>
        <v>4.6324420376865121E-2</v>
      </c>
      <c r="AE47" s="49">
        <f t="shared" si="119"/>
        <v>4.3058324281302296E-2</v>
      </c>
      <c r="AF47" s="49">
        <f t="shared" si="119"/>
        <v>4.9169276682194986E-2</v>
      </c>
      <c r="AG47" s="49">
        <f t="shared" si="119"/>
        <v>9.3610480366284041E-2</v>
      </c>
      <c r="AH47" s="49">
        <f t="shared" ref="AH47:AW47" si="120">AH43/(AH37+AH38+AH39+AH40+AH41+AH42+AH43+AH44+AH45)</f>
        <v>7.1690136197576831E-2</v>
      </c>
      <c r="AI47" s="49">
        <f t="shared" si="120"/>
        <v>9.6196612717260058E-2</v>
      </c>
      <c r="AJ47" s="49">
        <f t="shared" si="120"/>
        <v>4.5822686419370824E-2</v>
      </c>
      <c r="AK47" s="49">
        <f t="shared" si="120"/>
        <v>6.6203815542195316E-2</v>
      </c>
      <c r="AL47" s="49">
        <f t="shared" si="120"/>
        <v>8.5765228193066603E-2</v>
      </c>
      <c r="AM47" s="49">
        <f t="shared" si="120"/>
        <v>7.4172901783859033E-2</v>
      </c>
      <c r="AN47" s="49">
        <f t="shared" si="120"/>
        <v>6.9151817799079085E-2</v>
      </c>
      <c r="AO47" s="49">
        <f t="shared" si="120"/>
        <v>4.0493941607965905E-2</v>
      </c>
      <c r="AP47" s="49">
        <f t="shared" si="120"/>
        <v>0</v>
      </c>
      <c r="AQ47" s="49">
        <f t="shared" si="120"/>
        <v>6.1409397859073685E-2</v>
      </c>
      <c r="AR47" s="49">
        <f t="shared" si="120"/>
        <v>5.5393301764398613E-2</v>
      </c>
      <c r="AS47" s="49">
        <f t="shared" si="120"/>
        <v>6.6045008221737159E-2</v>
      </c>
      <c r="AT47" s="49">
        <f t="shared" si="120"/>
        <v>7.1111813304456345E-2</v>
      </c>
      <c r="AU47" s="49">
        <f t="shared" si="120"/>
        <v>8.4641381469396801E-2</v>
      </c>
      <c r="AV47" s="49">
        <f t="shared" si="120"/>
        <v>-0.40830232019583029</v>
      </c>
      <c r="AW47" s="49">
        <f t="shared" si="120"/>
        <v>8.9521807053917421E-2</v>
      </c>
      <c r="AX47" s="49">
        <f t="shared" ref="AX47:BE47" si="121">AX43/(AX37+AX38+AX39+AX40+AX41+AX42+AX43+AX44+AX45)</f>
        <v>8.4252962284648403E-2</v>
      </c>
      <c r="AY47" s="49">
        <f t="shared" si="121"/>
        <v>0.10578938048444164</v>
      </c>
      <c r="AZ47" s="49">
        <f t="shared" si="121"/>
        <v>9.360620151856372E-2</v>
      </c>
      <c r="BA47" s="49">
        <f t="shared" si="121"/>
        <v>5.1746729314686074E-2</v>
      </c>
      <c r="BB47" s="49">
        <f t="shared" si="121"/>
        <v>0.12324360157282535</v>
      </c>
      <c r="BC47" s="49">
        <f t="shared" si="121"/>
        <v>8.164941855745235E-2</v>
      </c>
      <c r="BD47" s="49">
        <f t="shared" si="121"/>
        <v>0.11518730702308641</v>
      </c>
      <c r="BE47" s="49">
        <f t="shared" si="121"/>
        <v>8.3772833836316035E-2</v>
      </c>
    </row>
    <row r="48" spans="1:57" s="5" customFormat="1">
      <c r="A48" s="14" t="s">
        <v>454</v>
      </c>
      <c r="B48" s="49">
        <f t="shared" ref="B48:Q48" si="122">B37/(B37+B38+B39+B40+B41+B42+B43+B44+B45)</f>
        <v>0.11910434560686403</v>
      </c>
      <c r="C48" s="49">
        <f t="shared" si="122"/>
        <v>0.4667353355333817</v>
      </c>
      <c r="D48" s="49">
        <f t="shared" si="122"/>
        <v>0.46432357983049055</v>
      </c>
      <c r="E48" s="49">
        <f t="shared" si="122"/>
        <v>0.47251507144176286</v>
      </c>
      <c r="F48" s="49">
        <f t="shared" si="122"/>
        <v>0.4610463382116835</v>
      </c>
      <c r="G48" s="49">
        <f t="shared" si="122"/>
        <v>0.40738445809945689</v>
      </c>
      <c r="H48" s="49">
        <f t="shared" si="122"/>
        <v>0.41851708549400002</v>
      </c>
      <c r="I48" s="49">
        <f t="shared" si="122"/>
        <v>0.40001164084351559</v>
      </c>
      <c r="J48" s="49">
        <f t="shared" si="122"/>
        <v>0.40988901199514211</v>
      </c>
      <c r="K48" s="49">
        <f t="shared" si="122"/>
        <v>0.38127675518582255</v>
      </c>
      <c r="L48" s="49">
        <f t="shared" si="122"/>
        <v>0.48894768490167051</v>
      </c>
      <c r="M48" s="49">
        <f t="shared" si="122"/>
        <v>0.47775149294404529</v>
      </c>
      <c r="N48" s="49">
        <f t="shared" si="122"/>
        <v>0.48905600884443823</v>
      </c>
      <c r="O48" s="49">
        <f t="shared" si="122"/>
        <v>0.48476364908809427</v>
      </c>
      <c r="P48" s="49">
        <f t="shared" si="122"/>
        <v>0.44561383132408111</v>
      </c>
      <c r="Q48" s="49">
        <f t="shared" si="122"/>
        <v>0.48203594052591919</v>
      </c>
      <c r="R48" s="49">
        <f t="shared" ref="R48:AG48" si="123">R37/(R37+R38+R39+R40+R41+R42+R43+R44+R45)</f>
        <v>0.4706712321341282</v>
      </c>
      <c r="S48" s="49">
        <f t="shared" si="123"/>
        <v>0.54452894234733484</v>
      </c>
      <c r="T48" s="49">
        <f t="shared" si="123"/>
        <v>0.54579502415069836</v>
      </c>
      <c r="U48" s="49">
        <f t="shared" si="123"/>
        <v>0.52312804985829264</v>
      </c>
      <c r="V48" s="49">
        <f t="shared" si="123"/>
        <v>0.48380347178739869</v>
      </c>
      <c r="W48" s="49">
        <f t="shared" si="123"/>
        <v>0.35120424829897023</v>
      </c>
      <c r="X48" s="49">
        <f t="shared" si="123"/>
        <v>0.33862957131053245</v>
      </c>
      <c r="Y48" s="49">
        <f t="shared" si="123"/>
        <v>0.38121555558132153</v>
      </c>
      <c r="Z48" s="49">
        <f t="shared" si="123"/>
        <v>0.17471836039397545</v>
      </c>
      <c r="AA48" s="49">
        <f t="shared" si="123"/>
        <v>0.31544322188680407</v>
      </c>
      <c r="AB48" s="49">
        <f t="shared" si="123"/>
        <v>0.34800476602323671</v>
      </c>
      <c r="AC48" s="49">
        <f t="shared" si="123"/>
        <v>0.38509952771238065</v>
      </c>
      <c r="AD48" s="49">
        <f t="shared" si="123"/>
        <v>0.40222479638637543</v>
      </c>
      <c r="AE48" s="49">
        <f t="shared" si="123"/>
        <v>0.40740439114635918</v>
      </c>
      <c r="AF48" s="49">
        <f t="shared" si="123"/>
        <v>0.47228290246725818</v>
      </c>
      <c r="AG48" s="49">
        <f t="shared" si="123"/>
        <v>0.46725140387418795</v>
      </c>
      <c r="AH48" s="49">
        <f t="shared" ref="AH48:AW48" si="124">AH37/(AH37+AH38+AH39+AH40+AH41+AH42+AH43+AH44+AH45)</f>
        <v>0.45898894338063034</v>
      </c>
      <c r="AI48" s="49">
        <f t="shared" si="124"/>
        <v>0.46637837938733889</v>
      </c>
      <c r="AJ48" s="49">
        <f t="shared" si="124"/>
        <v>0.46789323281766015</v>
      </c>
      <c r="AK48" s="49">
        <f t="shared" si="124"/>
        <v>0.44201889228414321</v>
      </c>
      <c r="AL48" s="49">
        <f t="shared" si="124"/>
        <v>0.39656420945593301</v>
      </c>
      <c r="AM48" s="49">
        <f t="shared" si="124"/>
        <v>0.49470201379233081</v>
      </c>
      <c r="AN48" s="49">
        <f t="shared" si="124"/>
        <v>0.49747988033406959</v>
      </c>
      <c r="AO48" s="49">
        <f t="shared" si="124"/>
        <v>0.46218469533868867</v>
      </c>
      <c r="AP48" s="49">
        <f t="shared" si="124"/>
        <v>0.42029265635943974</v>
      </c>
      <c r="AQ48" s="49">
        <f t="shared" si="124"/>
        <v>0.43697216713948944</v>
      </c>
      <c r="AR48" s="49">
        <f t="shared" si="124"/>
        <v>0.45637063968077668</v>
      </c>
      <c r="AS48" s="49">
        <f t="shared" si="124"/>
        <v>0.43798509975697242</v>
      </c>
      <c r="AT48" s="49">
        <f t="shared" si="124"/>
        <v>0.44613587437802738</v>
      </c>
      <c r="AU48" s="49">
        <f t="shared" si="124"/>
        <v>0.48514807515383901</v>
      </c>
      <c r="AV48" s="49">
        <f t="shared" si="124"/>
        <v>0.58733598801224041</v>
      </c>
      <c r="AW48" s="49">
        <f t="shared" si="124"/>
        <v>0.52912191514881335</v>
      </c>
      <c r="AX48" s="49">
        <f t="shared" ref="AX48:BE48" si="125">AX37/(AX37+AX38+AX39+AX40+AX41+AX42+AX43+AX44+AX45)</f>
        <v>0.52426649851781881</v>
      </c>
      <c r="AY48" s="49">
        <f t="shared" si="125"/>
        <v>0.51446203160766835</v>
      </c>
      <c r="AZ48" s="49">
        <f t="shared" si="125"/>
        <v>0.49083369549312178</v>
      </c>
      <c r="BA48" s="49">
        <f t="shared" si="125"/>
        <v>0.42026120809516121</v>
      </c>
      <c r="BB48" s="49">
        <f t="shared" si="125"/>
        <v>0.42068237996586566</v>
      </c>
      <c r="BC48" s="49">
        <f t="shared" si="125"/>
        <v>0.47935517471221428</v>
      </c>
      <c r="BD48" s="49">
        <f t="shared" si="125"/>
        <v>0.490017761174733</v>
      </c>
      <c r="BE48" s="49">
        <f t="shared" si="125"/>
        <v>0.49608072481813392</v>
      </c>
    </row>
    <row r="49" spans="1:57" s="5" customFormat="1">
      <c r="A49" s="14" t="s">
        <v>455</v>
      </c>
      <c r="B49" s="49">
        <f t="shared" ref="B49:Q49" si="126">(B44+B45)/(B37+B38+B39+B40+B41+B42+B43+B44+B45)</f>
        <v>0.12496760160481392</v>
      </c>
      <c r="C49" s="49">
        <f t="shared" si="126"/>
        <v>-4.7465072108510377E-3</v>
      </c>
      <c r="D49" s="49">
        <f t="shared" si="126"/>
        <v>5.5910245379487255E-3</v>
      </c>
      <c r="E49" s="49">
        <f t="shared" si="126"/>
        <v>4.1205093532230855E-4</v>
      </c>
      <c r="F49" s="49">
        <f t="shared" si="126"/>
        <v>5.4454868257161138E-3</v>
      </c>
      <c r="G49" s="49">
        <f t="shared" si="126"/>
        <v>3.8534213646490137E-2</v>
      </c>
      <c r="H49" s="49">
        <f t="shared" si="126"/>
        <v>3.5584897304581892E-2</v>
      </c>
      <c r="I49" s="49">
        <f t="shared" si="126"/>
        <v>3.3260562750753786E-2</v>
      </c>
      <c r="J49" s="49">
        <f t="shared" si="126"/>
        <v>5.5540663914259721E-2</v>
      </c>
      <c r="K49" s="49">
        <f t="shared" si="126"/>
        <v>1.5078080810793129E-2</v>
      </c>
      <c r="L49" s="49">
        <f t="shared" si="126"/>
        <v>2.7482613512207786E-2</v>
      </c>
      <c r="M49" s="49">
        <f t="shared" si="126"/>
        <v>2.3472296170665114E-2</v>
      </c>
      <c r="N49" s="49">
        <f t="shared" si="126"/>
        <v>2.4749150750262957E-2</v>
      </c>
      <c r="O49" s="49">
        <f t="shared" si="126"/>
        <v>1.4514543609991047E-2</v>
      </c>
      <c r="P49" s="49">
        <f t="shared" si="126"/>
        <v>3.1259137765470714E-2</v>
      </c>
      <c r="Q49" s="49">
        <f t="shared" si="126"/>
        <v>2.5494259952615304E-2</v>
      </c>
      <c r="R49" s="49">
        <f t="shared" ref="R49:AG49" si="127">(R44+R45)/(R37+R38+R39+R40+R41+R42+R43+R44+R45)</f>
        <v>2.2574273393488439E-3</v>
      </c>
      <c r="S49" s="49">
        <f t="shared" si="127"/>
        <v>2.6265799151608517E-2</v>
      </c>
      <c r="T49" s="49">
        <f t="shared" si="127"/>
        <v>3.9475529305418561E-2</v>
      </c>
      <c r="U49" s="49">
        <f t="shared" si="127"/>
        <v>1.49061910554342E-2</v>
      </c>
      <c r="V49" s="49">
        <f t="shared" si="127"/>
        <v>-1.3426351552085491E-3</v>
      </c>
      <c r="W49" s="49">
        <f t="shared" si="127"/>
        <v>2.6886241371334163E-2</v>
      </c>
      <c r="X49" s="49">
        <f t="shared" si="127"/>
        <v>2.7216615858619789E-2</v>
      </c>
      <c r="Y49" s="49">
        <f t="shared" si="127"/>
        <v>1.3774260976475586E-2</v>
      </c>
      <c r="Z49" s="49">
        <f t="shared" si="127"/>
        <v>-1.9395158890013899E-2</v>
      </c>
      <c r="AA49" s="49">
        <f t="shared" si="127"/>
        <v>1.4057060212175667E-2</v>
      </c>
      <c r="AB49" s="49">
        <f t="shared" si="127"/>
        <v>1.3976847743595885E-2</v>
      </c>
      <c r="AC49" s="49">
        <f t="shared" si="127"/>
        <v>2.7185201065845429E-2</v>
      </c>
      <c r="AD49" s="49">
        <f t="shared" si="127"/>
        <v>2.6415825717373231E-2</v>
      </c>
      <c r="AE49" s="49">
        <f t="shared" si="127"/>
        <v>3.0650383947330728E-2</v>
      </c>
      <c r="AF49" s="49">
        <f t="shared" si="127"/>
        <v>2.9556705161320019E-2</v>
      </c>
      <c r="AG49" s="49">
        <f t="shared" si="127"/>
        <v>3.0902119092255612E-2</v>
      </c>
      <c r="AH49" s="49">
        <f t="shared" ref="AH49:AW49" si="128">(AH44+AH45)/(AH37+AH38+AH39+AH40+AH41+AH42+AH43+AH44+AH45)</f>
        <v>2.8899707833837902E-2</v>
      </c>
      <c r="AI49" s="49">
        <f t="shared" si="128"/>
        <v>2.3930497825364903E-2</v>
      </c>
      <c r="AJ49" s="49">
        <f t="shared" si="128"/>
        <v>7.7612800481870392E-3</v>
      </c>
      <c r="AK49" s="49">
        <f t="shared" si="128"/>
        <v>2.3116151456083023E-2</v>
      </c>
      <c r="AL49" s="49">
        <f t="shared" si="128"/>
        <v>2.3970499234189625E-2</v>
      </c>
      <c r="AM49" s="49">
        <f t="shared" si="128"/>
        <v>3.8316014621664514E-2</v>
      </c>
      <c r="AN49" s="49">
        <f t="shared" si="128"/>
        <v>3.9281473067398286E-2</v>
      </c>
      <c r="AO49" s="49">
        <f t="shared" si="128"/>
        <v>3.4547767842094096E-2</v>
      </c>
      <c r="AP49" s="49">
        <f t="shared" si="128"/>
        <v>5.1704828829428773E-3</v>
      </c>
      <c r="AQ49" s="49">
        <f t="shared" si="128"/>
        <v>3.8509012281994978E-2</v>
      </c>
      <c r="AR49" s="49">
        <f t="shared" si="128"/>
        <v>1.986868173298964E-2</v>
      </c>
      <c r="AS49" s="49">
        <f t="shared" si="128"/>
        <v>3.7891305058756916E-2</v>
      </c>
      <c r="AT49" s="49">
        <f t="shared" si="128"/>
        <v>4.4552296629277774E-2</v>
      </c>
      <c r="AU49" s="49">
        <f t="shared" si="128"/>
        <v>3.3493643595810293E-2</v>
      </c>
      <c r="AV49" s="49">
        <f t="shared" si="128"/>
        <v>0.39130951159392463</v>
      </c>
      <c r="AW49" s="49">
        <f t="shared" si="128"/>
        <v>3.9500314741143454E-2</v>
      </c>
      <c r="AX49" s="49">
        <f t="shared" ref="AX49:BE49" si="129">(AX44+AX45)/(AX37+AX38+AX39+AX40+AX41+AX42+AX43+AX44+AX45)</f>
        <v>2.5721938026032894E-2</v>
      </c>
      <c r="AY49" s="49">
        <f t="shared" si="129"/>
        <v>4.3587005988737722E-2</v>
      </c>
      <c r="AZ49" s="49">
        <f t="shared" si="129"/>
        <v>3.4330831432705475E-2</v>
      </c>
      <c r="BA49" s="49">
        <f t="shared" si="129"/>
        <v>2.3318633703367442E-2</v>
      </c>
      <c r="BB49" s="49">
        <f t="shared" si="129"/>
        <v>5.3554880059601018E-2</v>
      </c>
      <c r="BC49" s="49">
        <f t="shared" si="129"/>
        <v>3.0818665092203341E-2</v>
      </c>
      <c r="BD49" s="49">
        <f t="shared" si="129"/>
        <v>3.3496183659807097E-2</v>
      </c>
      <c r="BE49" s="49">
        <f t="shared" si="129"/>
        <v>2.6954557602418088E-2</v>
      </c>
    </row>
    <row r="50" spans="1:57" s="5" customFormat="1">
      <c r="A50" s="14" t="s">
        <v>456</v>
      </c>
      <c r="B50" s="49">
        <f t="shared" ref="B50:Q50" si="130">B41/(B37+B38+B39+B40+B41+B42+B43+B44+B45)</f>
        <v>5.4327073988742945E-2</v>
      </c>
      <c r="C50" s="49">
        <f t="shared" si="130"/>
        <v>8.2974945081492214E-3</v>
      </c>
      <c r="D50" s="49">
        <f t="shared" si="130"/>
        <v>6.1428103246153809E-3</v>
      </c>
      <c r="E50" s="49">
        <f t="shared" si="130"/>
        <v>6.00850620940968E-3</v>
      </c>
      <c r="F50" s="49">
        <f t="shared" si="130"/>
        <v>1.2462559273661515E-2</v>
      </c>
      <c r="G50" s="49">
        <f t="shared" si="130"/>
        <v>1.7247163270177855E-4</v>
      </c>
      <c r="H50" s="49">
        <f t="shared" si="130"/>
        <v>-3.2525655822512925E-3</v>
      </c>
      <c r="I50" s="49">
        <f t="shared" si="130"/>
        <v>9.128653753428485E-3</v>
      </c>
      <c r="J50" s="49">
        <f t="shared" si="130"/>
        <v>-2.1880952593872458E-3</v>
      </c>
      <c r="K50" s="49">
        <f t="shared" si="130"/>
        <v>1.0798757147164851E-2</v>
      </c>
      <c r="L50" s="49">
        <f t="shared" si="130"/>
        <v>3.7784987098996117E-3</v>
      </c>
      <c r="M50" s="49">
        <f t="shared" si="130"/>
        <v>2.603681144156465E-3</v>
      </c>
      <c r="N50" s="49">
        <f t="shared" si="130"/>
        <v>1.1517124172076591E-3</v>
      </c>
      <c r="O50" s="49">
        <f t="shared" si="130"/>
        <v>8.8077211818982006E-3</v>
      </c>
      <c r="P50" s="49">
        <f t="shared" si="130"/>
        <v>1.3739600913139302E-3</v>
      </c>
      <c r="Q50" s="49">
        <f t="shared" si="130"/>
        <v>1.1380362250963012E-2</v>
      </c>
      <c r="R50" s="49">
        <f t="shared" ref="R50:AG50" si="131">R41/(R37+R38+R39+R40+R41+R42+R43+R44+R45)</f>
        <v>1.6556515981307036E-2</v>
      </c>
      <c r="S50" s="49">
        <f t="shared" si="131"/>
        <v>9.9163527738749067E-3</v>
      </c>
      <c r="T50" s="49">
        <f t="shared" si="131"/>
        <v>9.7605686054674096E-3</v>
      </c>
      <c r="U50" s="49">
        <f t="shared" si="131"/>
        <v>1.468144227415432E-2</v>
      </c>
      <c r="V50" s="49">
        <f t="shared" si="131"/>
        <v>1.3889848214076126E-2</v>
      </c>
      <c r="W50" s="49">
        <f t="shared" si="131"/>
        <v>4.182951042151188E-4</v>
      </c>
      <c r="X50" s="49">
        <f t="shared" si="131"/>
        <v>3.664428076506005E-3</v>
      </c>
      <c r="Y50" s="49">
        <f t="shared" si="131"/>
        <v>4.566634424069559E-3</v>
      </c>
      <c r="Z50" s="49">
        <f t="shared" si="131"/>
        <v>2.4559418589487618E-2</v>
      </c>
      <c r="AA50" s="49">
        <f t="shared" si="131"/>
        <v>3.1153712842191927E-2</v>
      </c>
      <c r="AB50" s="49">
        <f t="shared" si="131"/>
        <v>3.1913982557308783E-2</v>
      </c>
      <c r="AC50" s="49">
        <f t="shared" si="131"/>
        <v>3.3473753634342282E-2</v>
      </c>
      <c r="AD50" s="49">
        <f t="shared" si="131"/>
        <v>1.0655921684937585E-2</v>
      </c>
      <c r="AE50" s="49">
        <f t="shared" si="131"/>
        <v>9.3188266015147934E-3</v>
      </c>
      <c r="AF50" s="49">
        <f t="shared" si="131"/>
        <v>1.4722795076076045E-2</v>
      </c>
      <c r="AG50" s="49">
        <f t="shared" si="131"/>
        <v>7.1615282899983122E-3</v>
      </c>
      <c r="AH50" s="49">
        <f t="shared" ref="AH50:AW50" si="132">AH41/(AH37+AH38+AH39+AH40+AH41+AH42+AH43+AH44+AH45)</f>
        <v>8.7232885204420398E-4</v>
      </c>
      <c r="AI50" s="49">
        <f t="shared" si="132"/>
        <v>5.2032454672791073E-3</v>
      </c>
      <c r="AJ50" s="49">
        <f t="shared" si="132"/>
        <v>2.5503324297353222E-3</v>
      </c>
      <c r="AK50" s="49">
        <f t="shared" si="132"/>
        <v>4.4108013750000542E-3</v>
      </c>
      <c r="AL50" s="49">
        <f t="shared" si="132"/>
        <v>7.3428037639591132E-3</v>
      </c>
      <c r="AM50" s="49">
        <f t="shared" si="132"/>
        <v>9.4263400641920944E-3</v>
      </c>
      <c r="AN50" s="49">
        <f t="shared" si="132"/>
        <v>1.4845011387005152E-2</v>
      </c>
      <c r="AO50" s="49">
        <f t="shared" si="132"/>
        <v>2.0277077124343908E-2</v>
      </c>
      <c r="AP50" s="49">
        <f t="shared" si="132"/>
        <v>2.4270417370872561E-2</v>
      </c>
      <c r="AQ50" s="49">
        <f t="shared" si="132"/>
        <v>1.4927664225043828E-2</v>
      </c>
      <c r="AR50" s="49">
        <f t="shared" si="132"/>
        <v>4.768463240085492E-3</v>
      </c>
      <c r="AS50" s="49">
        <f t="shared" si="132"/>
        <v>1.0388245649422492E-2</v>
      </c>
      <c r="AT50" s="49">
        <f t="shared" si="132"/>
        <v>1.0447242610347804E-2</v>
      </c>
      <c r="AU50" s="49">
        <f t="shared" si="132"/>
        <v>1.1655216549447022E-2</v>
      </c>
      <c r="AV50" s="49">
        <f t="shared" si="132"/>
        <v>0.75249367313121107</v>
      </c>
      <c r="AW50" s="49">
        <f t="shared" si="132"/>
        <v>6.6197951893799028E-3</v>
      </c>
      <c r="AX50" s="49">
        <f t="shared" ref="AX50:BE50" si="133">AX41/(AX37+AX38+AX39+AX40+AX41+AX42+AX43+AX44+AX45)</f>
        <v>6.008982082290143E-3</v>
      </c>
      <c r="AY50" s="49">
        <f t="shared" si="133"/>
        <v>8.8358333722245736E-3</v>
      </c>
      <c r="AZ50" s="49">
        <f t="shared" si="133"/>
        <v>-2.7109420822873194E-4</v>
      </c>
      <c r="BA50" s="49">
        <f t="shared" si="133"/>
        <v>1.0729966732931358E-2</v>
      </c>
      <c r="BB50" s="49">
        <f t="shared" si="133"/>
        <v>1.4446446813286516E-3</v>
      </c>
      <c r="BC50" s="49">
        <f t="shared" si="133"/>
        <v>-9.6552080334147406E-4</v>
      </c>
      <c r="BD50" s="49">
        <f t="shared" si="133"/>
        <v>8.1129586520516052E-4</v>
      </c>
      <c r="BE50" s="49">
        <f t="shared" si="133"/>
        <v>-3.8922576071943681E-4</v>
      </c>
    </row>
    <row r="51" spans="1:57" s="5" customFormat="1">
      <c r="A51" s="14" t="s">
        <v>457</v>
      </c>
      <c r="B51" s="49">
        <f t="shared" ref="B51:Q51" si="134">(B38+B39+B40)/(B37+B38+B39+B40+B41+B42+B43+B44+B45)</f>
        <v>1.3218408720690598E-2</v>
      </c>
      <c r="C51" s="49">
        <f t="shared" si="134"/>
        <v>5.1455281180277979E-2</v>
      </c>
      <c r="D51" s="49">
        <f t="shared" si="134"/>
        <v>3.9743362548667352E-2</v>
      </c>
      <c r="E51" s="49">
        <f t="shared" si="134"/>
        <v>3.6372757768624218E-2</v>
      </c>
      <c r="F51" s="49">
        <f t="shared" si="134"/>
        <v>4.5121221383637389E-2</v>
      </c>
      <c r="G51" s="49">
        <f t="shared" si="134"/>
        <v>4.6216827672523393E-2</v>
      </c>
      <c r="H51" s="49">
        <f t="shared" si="134"/>
        <v>3.8241722228888844E-2</v>
      </c>
      <c r="I51" s="49">
        <f t="shared" si="134"/>
        <v>6.8496503302674261E-2</v>
      </c>
      <c r="J51" s="49">
        <f t="shared" si="134"/>
        <v>2.8997316848584854E-2</v>
      </c>
      <c r="K51" s="49">
        <f t="shared" si="134"/>
        <v>8.0480550584099059E-2</v>
      </c>
      <c r="L51" s="49">
        <f t="shared" si="134"/>
        <v>3.3390793087083252E-2</v>
      </c>
      <c r="M51" s="49">
        <f t="shared" si="134"/>
        <v>4.4828089425507263E-2</v>
      </c>
      <c r="N51" s="49">
        <f t="shared" si="134"/>
        <v>2.7718459734004615E-2</v>
      </c>
      <c r="O51" s="49">
        <f t="shared" si="134"/>
        <v>4.2629854122936413E-2</v>
      </c>
      <c r="P51" s="49">
        <f t="shared" si="134"/>
        <v>2.414354533554933E-2</v>
      </c>
      <c r="Q51" s="49">
        <f t="shared" si="134"/>
        <v>3.6714204356798674E-2</v>
      </c>
      <c r="R51" s="49">
        <f t="shared" ref="R51:AG51" si="135">(R38+R39+R40)/(R37+R38+R39+R40+R41+R42+R43+R44+R45)</f>
        <v>5.0685031320745838E-2</v>
      </c>
      <c r="S51" s="49">
        <f t="shared" si="135"/>
        <v>3.988852377636893E-2</v>
      </c>
      <c r="T51" s="49">
        <f t="shared" si="135"/>
        <v>2.4983475559304844E-2</v>
      </c>
      <c r="U51" s="49">
        <f t="shared" si="135"/>
        <v>5.2267150568359746E-2</v>
      </c>
      <c r="V51" s="49">
        <f t="shared" si="135"/>
        <v>8.0495360286229334E-2</v>
      </c>
      <c r="W51" s="49">
        <f t="shared" si="135"/>
        <v>6.9128868375534808E-2</v>
      </c>
      <c r="X51" s="49">
        <f t="shared" si="135"/>
        <v>5.0798645751146128E-2</v>
      </c>
      <c r="Y51" s="49">
        <f t="shared" si="135"/>
        <v>3.9662992482308729E-2</v>
      </c>
      <c r="Z51" s="49">
        <f t="shared" si="135"/>
        <v>0.14174107807409514</v>
      </c>
      <c r="AA51" s="49">
        <f t="shared" si="135"/>
        <v>9.5813822620173544E-2</v>
      </c>
      <c r="AB51" s="49">
        <f t="shared" si="135"/>
        <v>0.11893902322052843</v>
      </c>
      <c r="AC51" s="49">
        <f t="shared" si="135"/>
        <v>7.5806637039841182E-2</v>
      </c>
      <c r="AD51" s="49">
        <f t="shared" si="135"/>
        <v>3.4457445565710579E-2</v>
      </c>
      <c r="AE51" s="49">
        <f t="shared" si="135"/>
        <v>2.5525356576358047E-2</v>
      </c>
      <c r="AF51" s="49">
        <f t="shared" si="135"/>
        <v>5.1639008431612531E-2</v>
      </c>
      <c r="AG51" s="49">
        <f t="shared" si="135"/>
        <v>4.4189347356294725E-3</v>
      </c>
      <c r="AH51" s="49">
        <f t="shared" ref="AH51:AW51" si="136">(AH38+AH39+AH40)/(AH37+AH38+AH39+AH40+AH41+AH42+AH43+AH44+AH45)</f>
        <v>4.355720599065002E-3</v>
      </c>
      <c r="AI51" s="49">
        <f t="shared" si="136"/>
        <v>3.4232732715528038E-3</v>
      </c>
      <c r="AJ51" s="49">
        <f t="shared" si="136"/>
        <v>4.6309555007573756E-2</v>
      </c>
      <c r="AK51" s="49">
        <f t="shared" si="136"/>
        <v>4.0996467603803769E-3</v>
      </c>
      <c r="AL51" s="49">
        <f t="shared" si="136"/>
        <v>0.10108018254235807</v>
      </c>
      <c r="AM51" s="49">
        <f t="shared" si="136"/>
        <v>1.1450869902778828E-2</v>
      </c>
      <c r="AN51" s="49">
        <f t="shared" si="136"/>
        <v>1.7074211324833364E-2</v>
      </c>
      <c r="AO51" s="49">
        <f t="shared" si="136"/>
        <v>5.042839071008947E-2</v>
      </c>
      <c r="AP51" s="49">
        <f t="shared" si="136"/>
        <v>4.5896553195077738E-2</v>
      </c>
      <c r="AQ51" s="49">
        <f t="shared" si="136"/>
        <v>3.8536269373655851E-3</v>
      </c>
      <c r="AR51" s="49">
        <f t="shared" si="136"/>
        <v>4.70437248773534E-2</v>
      </c>
      <c r="AS51" s="49">
        <f t="shared" si="136"/>
        <v>4.153749640290221E-3</v>
      </c>
      <c r="AT51" s="49">
        <f t="shared" si="136"/>
        <v>5.4992719239199015E-3</v>
      </c>
      <c r="AU51" s="49">
        <f t="shared" si="136"/>
        <v>6.1054507628106481E-3</v>
      </c>
      <c r="AV51" s="49">
        <f t="shared" si="136"/>
        <v>5.0920733031938033E-3</v>
      </c>
      <c r="AW51" s="49">
        <f t="shared" si="136"/>
        <v>2.8706113511238234E-2</v>
      </c>
      <c r="AX51" s="49">
        <f t="shared" ref="AX51:BE51" si="137">(AX38+AX39+AX40)/(AX37+AX38+AX39+AX40+AX41+AX42+AX43+AX44+AX45)</f>
        <v>2.7512524951611616E-2</v>
      </c>
      <c r="AY51" s="49">
        <f t="shared" si="137"/>
        <v>2.9542416081522788E-3</v>
      </c>
      <c r="AZ51" s="49">
        <f t="shared" si="137"/>
        <v>4.8309632592482742E-2</v>
      </c>
      <c r="BA51" s="49">
        <f t="shared" si="137"/>
        <v>0.13280128469892749</v>
      </c>
      <c r="BB51" s="49">
        <f t="shared" si="137"/>
        <v>6.0301319931727479E-2</v>
      </c>
      <c r="BC51" s="49">
        <f t="shared" si="137"/>
        <v>6.1779155094830285E-2</v>
      </c>
      <c r="BD51" s="49">
        <f t="shared" si="137"/>
        <v>1.0592647405243377E-2</v>
      </c>
      <c r="BE51" s="49">
        <f t="shared" si="137"/>
        <v>6.1526645018306805E-2</v>
      </c>
    </row>
    <row r="52" spans="1:57" s="4" customForma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57" s="4" customForma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57" s="4" customForma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57" s="4" customForma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57" s="4" customForma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57" s="4" customForma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57" s="4" customForma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57" s="4" customForma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57" s="7" customFormat="1">
      <c r="A60" s="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47"/>
      <c r="AL60" s="54"/>
      <c r="AM60" s="47"/>
      <c r="AN60" s="47"/>
      <c r="AO60" s="47"/>
      <c r="AP60" s="47"/>
      <c r="AQ60" s="47"/>
      <c r="AR60" s="47"/>
    </row>
    <row r="61" spans="1:57" s="7" customFormat="1">
      <c r="A61" s="5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7"/>
      <c r="AL61" s="54"/>
      <c r="AM61" s="47"/>
      <c r="AN61" s="47"/>
      <c r="AO61" s="47"/>
      <c r="AP61" s="47"/>
      <c r="AQ61" s="47"/>
      <c r="AR61" s="47"/>
    </row>
    <row r="62" spans="1:57" s="7" customFormat="1">
      <c r="A62" s="5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7"/>
      <c r="AL62" s="54"/>
      <c r="AM62" s="47"/>
      <c r="AN62" s="47"/>
      <c r="AO62" s="47"/>
      <c r="AP62" s="47"/>
      <c r="AQ62" s="47"/>
      <c r="AR62" s="47"/>
    </row>
    <row r="63" spans="1:57" s="7" customFormat="1">
      <c r="A63" s="5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7"/>
      <c r="AL63" s="54"/>
      <c r="AM63" s="47"/>
      <c r="AN63" s="47"/>
      <c r="AO63" s="47"/>
      <c r="AP63" s="47"/>
      <c r="AQ63" s="47"/>
      <c r="AR63" s="47"/>
    </row>
    <row r="64" spans="1:57">
      <c r="A64" s="9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9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5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E51"/>
  <sheetViews>
    <sheetView workbookViewId="0">
      <selection sqref="A1:XFD1048576"/>
    </sheetView>
  </sheetViews>
  <sheetFormatPr baseColWidth="10" defaultColWidth="11.42578125" defaultRowHeight="14"/>
  <cols>
    <col min="1" max="1" width="7.42578125" style="22" customWidth="1"/>
    <col min="2" max="2" width="5.5703125" style="22" customWidth="1"/>
    <col min="3" max="3" width="5.28515625" style="22" customWidth="1"/>
    <col min="4" max="8" width="5.28515625" style="36" customWidth="1"/>
    <col min="9" max="12" width="5.28515625" style="3" customWidth="1"/>
    <col min="13" max="13" width="5.28515625" customWidth="1"/>
    <col min="14" max="26" width="5.28515625" style="3" customWidth="1"/>
    <col min="27" max="27" width="5.28515625" customWidth="1"/>
    <col min="28" max="33" width="5.28515625" style="3" customWidth="1"/>
    <col min="34" max="57" width="5.28515625" customWidth="1"/>
    <col min="58" max="230" width="11" customWidth="1"/>
  </cols>
  <sheetData>
    <row r="1" spans="1:57" s="17" customFormat="1" ht="13">
      <c r="D1" s="18"/>
      <c r="E1" s="18"/>
      <c r="F1" s="18"/>
      <c r="G1" s="18"/>
      <c r="H1" s="18"/>
      <c r="I1" s="18"/>
      <c r="J1" s="18"/>
      <c r="K1" s="18"/>
      <c r="L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B1" s="18"/>
      <c r="AC1" s="18"/>
      <c r="AD1" s="18"/>
      <c r="AE1" s="18"/>
      <c r="AF1" s="18"/>
      <c r="AG1" s="18"/>
    </row>
    <row r="3" spans="1:57" s="2" customFormat="1">
      <c r="A3" s="44" t="s">
        <v>458</v>
      </c>
      <c r="B3" s="2" t="s">
        <v>75</v>
      </c>
      <c r="C3" s="10" t="s">
        <v>71</v>
      </c>
      <c r="D3" s="10" t="s">
        <v>71</v>
      </c>
      <c r="E3" s="10" t="s">
        <v>71</v>
      </c>
      <c r="F3" s="10" t="s">
        <v>71</v>
      </c>
      <c r="G3" s="10" t="s">
        <v>216</v>
      </c>
      <c r="H3" s="10" t="s">
        <v>216</v>
      </c>
      <c r="I3" s="10" t="s">
        <v>216</v>
      </c>
      <c r="J3" s="10" t="s">
        <v>216</v>
      </c>
      <c r="K3" s="10" t="s">
        <v>216</v>
      </c>
      <c r="L3" s="10" t="s">
        <v>72</v>
      </c>
      <c r="M3" s="10" t="s">
        <v>72</v>
      </c>
      <c r="N3" s="10" t="s">
        <v>72</v>
      </c>
      <c r="O3" s="10" t="s">
        <v>72</v>
      </c>
      <c r="P3" s="10" t="s">
        <v>72</v>
      </c>
      <c r="Q3" s="10" t="s">
        <v>72</v>
      </c>
      <c r="R3" s="10" t="s">
        <v>72</v>
      </c>
      <c r="S3" s="10" t="s">
        <v>2</v>
      </c>
      <c r="T3" s="10" t="s">
        <v>2</v>
      </c>
      <c r="U3" s="10" t="s">
        <v>2</v>
      </c>
      <c r="V3" s="10" t="s">
        <v>2</v>
      </c>
      <c r="W3" s="10" t="s">
        <v>217</v>
      </c>
      <c r="X3" s="10" t="s">
        <v>217</v>
      </c>
      <c r="Y3" s="10" t="s">
        <v>217</v>
      </c>
      <c r="Z3" s="10" t="s">
        <v>217</v>
      </c>
      <c r="AA3" s="10" t="s">
        <v>217</v>
      </c>
      <c r="AB3" s="10" t="s">
        <v>217</v>
      </c>
      <c r="AC3" s="10" t="s">
        <v>217</v>
      </c>
      <c r="AD3" s="10" t="s">
        <v>217</v>
      </c>
      <c r="AE3" s="10" t="s">
        <v>217</v>
      </c>
      <c r="AF3" s="10" t="s">
        <v>75</v>
      </c>
      <c r="AG3" s="10" t="s">
        <v>75</v>
      </c>
      <c r="AH3" s="10" t="s">
        <v>75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0" t="s">
        <v>75</v>
      </c>
      <c r="AP3" s="10" t="s">
        <v>75</v>
      </c>
      <c r="AQ3" s="10" t="s">
        <v>75</v>
      </c>
      <c r="AR3" s="10" t="s">
        <v>75</v>
      </c>
      <c r="AS3" s="10" t="s">
        <v>75</v>
      </c>
      <c r="AT3" s="10" t="s">
        <v>75</v>
      </c>
      <c r="AU3" s="10" t="s">
        <v>75</v>
      </c>
      <c r="AV3" s="10" t="s">
        <v>75</v>
      </c>
      <c r="AW3" s="10">
        <v>931</v>
      </c>
      <c r="AX3" s="10">
        <v>931</v>
      </c>
      <c r="AY3" s="10">
        <v>931</v>
      </c>
      <c r="AZ3" s="10">
        <v>931</v>
      </c>
      <c r="BA3" s="99" t="s">
        <v>390</v>
      </c>
      <c r="BB3" s="99" t="s">
        <v>390</v>
      </c>
      <c r="BC3" s="99" t="s">
        <v>388</v>
      </c>
      <c r="BD3" s="99" t="s">
        <v>388</v>
      </c>
      <c r="BE3" s="99" t="s">
        <v>388</v>
      </c>
    </row>
    <row r="4" spans="1:57" s="2" customFormat="1">
      <c r="A4" s="44" t="s">
        <v>4</v>
      </c>
      <c r="B4" s="2" t="s">
        <v>430</v>
      </c>
      <c r="C4" s="10" t="s">
        <v>410</v>
      </c>
      <c r="D4" s="10" t="s">
        <v>411</v>
      </c>
      <c r="E4" s="10" t="s">
        <v>412</v>
      </c>
      <c r="F4" s="10" t="s">
        <v>413</v>
      </c>
      <c r="G4" s="10">
        <v>127</v>
      </c>
      <c r="H4" s="10">
        <v>132</v>
      </c>
      <c r="I4" s="10" t="s">
        <v>414</v>
      </c>
      <c r="J4" s="10" t="s">
        <v>415</v>
      </c>
      <c r="K4" s="10" t="s">
        <v>416</v>
      </c>
      <c r="L4" s="10" t="s">
        <v>417</v>
      </c>
      <c r="M4" s="10" t="s">
        <v>332</v>
      </c>
      <c r="N4" s="10" t="s">
        <v>418</v>
      </c>
      <c r="O4" s="10" t="s">
        <v>419</v>
      </c>
      <c r="P4" s="10" t="s">
        <v>420</v>
      </c>
      <c r="Q4" s="10" t="s">
        <v>421</v>
      </c>
      <c r="R4" s="10" t="s">
        <v>290</v>
      </c>
      <c r="S4" s="10" t="s">
        <v>422</v>
      </c>
      <c r="T4" s="10" t="s">
        <v>423</v>
      </c>
      <c r="U4" s="10" t="s">
        <v>295</v>
      </c>
      <c r="V4" s="10" t="s">
        <v>424</v>
      </c>
      <c r="W4" s="99">
        <v>28</v>
      </c>
      <c r="X4" s="99">
        <v>29</v>
      </c>
      <c r="Y4" s="99">
        <v>30</v>
      </c>
      <c r="Z4" s="99">
        <v>31</v>
      </c>
      <c r="AA4" s="99">
        <v>32</v>
      </c>
      <c r="AB4" s="99">
        <v>33</v>
      </c>
      <c r="AC4" s="99">
        <v>34</v>
      </c>
      <c r="AD4" s="99">
        <v>36</v>
      </c>
      <c r="AE4" s="99">
        <v>37</v>
      </c>
      <c r="AF4" s="10" t="s">
        <v>425</v>
      </c>
      <c r="AG4" s="10" t="s">
        <v>424</v>
      </c>
      <c r="AH4" s="10" t="s">
        <v>459</v>
      </c>
      <c r="AI4" s="10" t="s">
        <v>460</v>
      </c>
      <c r="AJ4" s="10" t="s">
        <v>265</v>
      </c>
      <c r="AK4" s="10" t="s">
        <v>428</v>
      </c>
      <c r="AL4" s="10" t="s">
        <v>429</v>
      </c>
      <c r="AM4" s="10" t="s">
        <v>430</v>
      </c>
      <c r="AN4" s="10" t="s">
        <v>431</v>
      </c>
      <c r="AO4" s="10" t="s">
        <v>432</v>
      </c>
      <c r="AP4" s="10" t="s">
        <v>433</v>
      </c>
      <c r="AQ4" s="10" t="s">
        <v>434</v>
      </c>
      <c r="AR4" s="10" t="s">
        <v>297</v>
      </c>
      <c r="AS4" s="10" t="s">
        <v>435</v>
      </c>
      <c r="AT4" s="10" t="s">
        <v>417</v>
      </c>
      <c r="AU4" s="10" t="s">
        <v>436</v>
      </c>
      <c r="AV4" s="10" t="s">
        <v>437</v>
      </c>
      <c r="AW4" s="10" t="s">
        <v>438</v>
      </c>
      <c r="AX4" s="10" t="s">
        <v>423</v>
      </c>
      <c r="AY4" s="10" t="s">
        <v>439</v>
      </c>
      <c r="AZ4" s="10" t="s">
        <v>440</v>
      </c>
      <c r="BA4" s="99">
        <v>87</v>
      </c>
      <c r="BB4" s="99">
        <v>6</v>
      </c>
      <c r="BC4" s="99">
        <v>73</v>
      </c>
      <c r="BD4" s="99">
        <v>74</v>
      </c>
      <c r="BE4" s="99">
        <v>75</v>
      </c>
    </row>
    <row r="5" spans="1:57">
      <c r="A5" s="22" t="s">
        <v>5</v>
      </c>
      <c r="B5" s="2">
        <v>0.01</v>
      </c>
      <c r="C5" s="99">
        <v>0.03</v>
      </c>
      <c r="D5" s="99">
        <v>0.04</v>
      </c>
      <c r="E5" s="99">
        <v>0.02</v>
      </c>
      <c r="F5" s="99">
        <v>0.05</v>
      </c>
      <c r="G5" s="10">
        <v>0.01</v>
      </c>
      <c r="H5" s="10">
        <v>0.03</v>
      </c>
      <c r="I5" s="10">
        <v>0.01</v>
      </c>
      <c r="J5" s="10">
        <v>0.05</v>
      </c>
      <c r="K5" s="10">
        <v>0</v>
      </c>
      <c r="L5" s="99">
        <v>0</v>
      </c>
      <c r="M5" s="99">
        <v>0.01</v>
      </c>
      <c r="N5" s="99">
        <v>0.02</v>
      </c>
      <c r="O5" s="99">
        <v>0</v>
      </c>
      <c r="P5" s="99">
        <v>0</v>
      </c>
      <c r="Q5" s="99">
        <v>0</v>
      </c>
      <c r="R5" s="99">
        <v>0.02</v>
      </c>
      <c r="S5" s="10">
        <v>0.03</v>
      </c>
      <c r="T5" s="10">
        <v>0</v>
      </c>
      <c r="U5" s="10">
        <v>0.04</v>
      </c>
      <c r="V5" s="10">
        <v>0.04</v>
      </c>
      <c r="W5" s="99">
        <v>0.02</v>
      </c>
      <c r="X5" s="99">
        <v>0.02</v>
      </c>
      <c r="Y5" s="99">
        <v>0</v>
      </c>
      <c r="Z5" s="99">
        <v>0.03</v>
      </c>
      <c r="AA5" s="99">
        <v>0.02</v>
      </c>
      <c r="AB5" s="99">
        <v>0</v>
      </c>
      <c r="AC5" s="99">
        <v>0</v>
      </c>
      <c r="AD5" s="99">
        <v>0.01</v>
      </c>
      <c r="AE5" s="99">
        <v>0.02</v>
      </c>
      <c r="AF5" s="99">
        <v>0.01</v>
      </c>
      <c r="AG5" s="99">
        <v>0</v>
      </c>
      <c r="AH5" s="99">
        <v>0</v>
      </c>
      <c r="AI5" s="99">
        <v>0</v>
      </c>
      <c r="AJ5" s="99">
        <v>0.02</v>
      </c>
      <c r="AK5" s="99">
        <v>0</v>
      </c>
      <c r="AL5" s="99">
        <v>0.05</v>
      </c>
      <c r="AM5" s="21">
        <v>0.01</v>
      </c>
      <c r="AN5" s="21">
        <v>0</v>
      </c>
      <c r="AO5" s="21">
        <v>0.01</v>
      </c>
      <c r="AP5" s="21">
        <v>0.08</v>
      </c>
      <c r="AQ5" s="21">
        <v>0.04</v>
      </c>
      <c r="AR5" s="21">
        <v>0</v>
      </c>
      <c r="AS5" s="21">
        <v>0.03</v>
      </c>
      <c r="AT5" s="21">
        <v>0.01</v>
      </c>
      <c r="AU5" s="21">
        <v>0</v>
      </c>
      <c r="AV5" s="21">
        <v>1.34</v>
      </c>
      <c r="AW5" s="10">
        <v>0.01</v>
      </c>
      <c r="AX5" s="10">
        <v>0.03</v>
      </c>
      <c r="AY5" s="10">
        <v>0</v>
      </c>
      <c r="AZ5" s="10">
        <v>0</v>
      </c>
      <c r="BA5" s="99">
        <v>0</v>
      </c>
      <c r="BB5" s="99">
        <v>0.05</v>
      </c>
      <c r="BC5" s="99">
        <v>0.03</v>
      </c>
      <c r="BD5" s="99">
        <v>0</v>
      </c>
      <c r="BE5" s="99">
        <v>0</v>
      </c>
    </row>
    <row r="6" spans="1:57">
      <c r="A6" s="22" t="s">
        <v>6</v>
      </c>
      <c r="B6" s="2">
        <v>12.31</v>
      </c>
      <c r="C6" s="99">
        <v>12.94</v>
      </c>
      <c r="D6" s="99">
        <v>13.06</v>
      </c>
      <c r="E6" s="99">
        <v>12.97</v>
      </c>
      <c r="F6" s="99">
        <v>12.84</v>
      </c>
      <c r="G6" s="10">
        <v>13.23</v>
      </c>
      <c r="H6" s="10">
        <v>13.23</v>
      </c>
      <c r="I6" s="10">
        <v>12.94</v>
      </c>
      <c r="J6" s="10">
        <v>13.03</v>
      </c>
      <c r="K6" s="10">
        <v>13.45</v>
      </c>
      <c r="L6" s="99">
        <v>11.83</v>
      </c>
      <c r="M6" s="99">
        <v>11.86</v>
      </c>
      <c r="N6" s="99">
        <v>12.01</v>
      </c>
      <c r="O6" s="99">
        <v>12.04</v>
      </c>
      <c r="P6" s="99">
        <v>13.23</v>
      </c>
      <c r="Q6" s="99">
        <v>12</v>
      </c>
      <c r="R6" s="99">
        <v>12.46</v>
      </c>
      <c r="S6" s="10">
        <v>10.84</v>
      </c>
      <c r="T6" s="10">
        <v>10.7</v>
      </c>
      <c r="U6" s="10">
        <v>10.74</v>
      </c>
      <c r="V6" s="10">
        <v>11.61</v>
      </c>
      <c r="W6" s="99">
        <v>14.73</v>
      </c>
      <c r="X6" s="99">
        <v>15.85</v>
      </c>
      <c r="Y6" s="99">
        <v>15.47</v>
      </c>
      <c r="Z6" s="99">
        <v>18.27</v>
      </c>
      <c r="AA6" s="99">
        <v>15.5</v>
      </c>
      <c r="AB6" s="99">
        <v>14.24</v>
      </c>
      <c r="AC6" s="99">
        <v>15.21</v>
      </c>
      <c r="AD6" s="99">
        <v>14.43</v>
      </c>
      <c r="AE6" s="99">
        <v>14.47</v>
      </c>
      <c r="AF6" s="99">
        <v>12.63</v>
      </c>
      <c r="AG6" s="99">
        <v>13.08</v>
      </c>
      <c r="AH6" s="99">
        <v>13.32</v>
      </c>
      <c r="AI6" s="99">
        <v>13.25</v>
      </c>
      <c r="AJ6" s="99">
        <v>12.62</v>
      </c>
      <c r="AK6" s="99">
        <v>13.97</v>
      </c>
      <c r="AL6" s="99">
        <v>12.31</v>
      </c>
      <c r="AM6" s="21">
        <v>12.31</v>
      </c>
      <c r="AN6" s="21">
        <v>12.25</v>
      </c>
      <c r="AO6" s="21">
        <v>12.86</v>
      </c>
      <c r="AP6" s="21">
        <v>13.92</v>
      </c>
      <c r="AQ6" s="21">
        <v>13.85</v>
      </c>
      <c r="AR6" s="21">
        <v>12.55</v>
      </c>
      <c r="AS6" s="21">
        <v>13.75</v>
      </c>
      <c r="AT6" s="21">
        <v>13.4</v>
      </c>
      <c r="AU6" s="21">
        <v>12.55</v>
      </c>
      <c r="AV6" s="21">
        <v>0.46</v>
      </c>
      <c r="AW6" s="10">
        <v>11.09</v>
      </c>
      <c r="AX6" s="10">
        <v>11.19</v>
      </c>
      <c r="AY6" s="10">
        <v>11.55</v>
      </c>
      <c r="AZ6" s="10">
        <v>11.05</v>
      </c>
      <c r="BA6" s="99">
        <v>11.38</v>
      </c>
      <c r="BB6" s="99">
        <v>12.24</v>
      </c>
      <c r="BC6" s="99">
        <v>11.19</v>
      </c>
      <c r="BD6" s="99">
        <v>12.14</v>
      </c>
      <c r="BE6" s="99">
        <v>10.87</v>
      </c>
    </row>
    <row r="7" spans="1:57">
      <c r="A7" s="22" t="s">
        <v>7</v>
      </c>
      <c r="B7" s="2">
        <v>0.13</v>
      </c>
      <c r="C7" s="99">
        <v>0.12</v>
      </c>
      <c r="D7" s="99">
        <v>0.08</v>
      </c>
      <c r="E7" s="99">
        <v>0</v>
      </c>
      <c r="F7" s="99">
        <v>0.09</v>
      </c>
      <c r="G7" s="10">
        <v>0.1</v>
      </c>
      <c r="H7" s="10">
        <v>0.12</v>
      </c>
      <c r="I7" s="10">
        <v>0.09</v>
      </c>
      <c r="J7" s="10">
        <v>0.08</v>
      </c>
      <c r="K7" s="10">
        <v>0.11</v>
      </c>
      <c r="L7" s="99">
        <v>0.09</v>
      </c>
      <c r="M7" s="99">
        <v>7.0000000000000007E-2</v>
      </c>
      <c r="N7" s="99">
        <v>7.0000000000000007E-2</v>
      </c>
      <c r="O7" s="99">
        <v>0.12</v>
      </c>
      <c r="P7" s="99">
        <v>0.15</v>
      </c>
      <c r="Q7" s="99">
        <v>7.0000000000000007E-2</v>
      </c>
      <c r="R7" s="99">
        <v>0.04</v>
      </c>
      <c r="S7" s="10">
        <v>0.12</v>
      </c>
      <c r="T7" s="10">
        <v>0.09</v>
      </c>
      <c r="U7" s="10">
        <v>0.16</v>
      </c>
      <c r="V7" s="10">
        <v>0.11</v>
      </c>
      <c r="W7" s="99">
        <v>0.2</v>
      </c>
      <c r="X7" s="99">
        <v>0.13</v>
      </c>
      <c r="Y7" s="99">
        <v>0.11</v>
      </c>
      <c r="Z7" s="99">
        <v>0.17</v>
      </c>
      <c r="AA7" s="99">
        <v>7.0000000000000007E-2</v>
      </c>
      <c r="AB7" s="99">
        <v>0.08</v>
      </c>
      <c r="AC7" s="99">
        <v>0.08</v>
      </c>
      <c r="AD7" s="99">
        <v>7.0000000000000007E-2</v>
      </c>
      <c r="AE7" s="99">
        <v>0.12</v>
      </c>
      <c r="AF7" s="99">
        <v>7.0000000000000007E-2</v>
      </c>
      <c r="AG7" s="99">
        <v>0.08</v>
      </c>
      <c r="AH7" s="99">
        <v>0.05</v>
      </c>
      <c r="AI7" s="99">
        <v>0.09</v>
      </c>
      <c r="AJ7" s="99">
        <v>0.11</v>
      </c>
      <c r="AK7" s="99">
        <v>0.1</v>
      </c>
      <c r="AL7" s="99">
        <v>0.03</v>
      </c>
      <c r="AM7" s="21">
        <v>0.13</v>
      </c>
      <c r="AN7" s="21">
        <v>0.18</v>
      </c>
      <c r="AO7" s="21">
        <v>0.13</v>
      </c>
      <c r="AP7" s="21">
        <v>7.0000000000000007E-2</v>
      </c>
      <c r="AQ7" s="21">
        <v>0.06</v>
      </c>
      <c r="AR7" s="21">
        <v>0.08</v>
      </c>
      <c r="AS7" s="21">
        <v>0.15</v>
      </c>
      <c r="AT7" s="21">
        <v>0.08</v>
      </c>
      <c r="AU7" s="21">
        <v>0.15</v>
      </c>
      <c r="AV7" s="21">
        <v>0.13</v>
      </c>
      <c r="AW7" s="10">
        <v>0.28999999999999998</v>
      </c>
      <c r="AX7" s="10">
        <v>0.13</v>
      </c>
      <c r="AY7" s="10">
        <v>0.11</v>
      </c>
      <c r="AZ7" s="10">
        <v>0.01</v>
      </c>
      <c r="BA7" s="99">
        <v>0.09</v>
      </c>
      <c r="BB7" s="99">
        <v>0.11</v>
      </c>
      <c r="BC7" s="99">
        <v>0.1</v>
      </c>
      <c r="BD7" s="99">
        <v>0.16</v>
      </c>
      <c r="BE7" s="99">
        <v>0.08</v>
      </c>
    </row>
    <row r="8" spans="1:57">
      <c r="A8" s="22" t="s">
        <v>8</v>
      </c>
      <c r="B8" s="2">
        <v>0.09</v>
      </c>
      <c r="C8" s="99">
        <v>0.08</v>
      </c>
      <c r="D8" s="99">
        <v>0.04</v>
      </c>
      <c r="E8" s="99">
        <v>0.13</v>
      </c>
      <c r="F8" s="99">
        <v>0.06</v>
      </c>
      <c r="G8" s="10">
        <v>0</v>
      </c>
      <c r="H8" s="10">
        <v>0</v>
      </c>
      <c r="I8" s="10">
        <v>0</v>
      </c>
      <c r="J8" s="10">
        <v>0.03</v>
      </c>
      <c r="K8" s="10">
        <v>0</v>
      </c>
      <c r="L8" s="99">
        <v>7.0000000000000007E-2</v>
      </c>
      <c r="M8" s="99">
        <v>0</v>
      </c>
      <c r="N8" s="99">
        <v>0.01</v>
      </c>
      <c r="O8" s="99">
        <v>0.05</v>
      </c>
      <c r="P8" s="99">
        <v>0</v>
      </c>
      <c r="Q8" s="99">
        <v>0.08</v>
      </c>
      <c r="R8" s="99">
        <v>0.05</v>
      </c>
      <c r="S8" s="10">
        <v>0</v>
      </c>
      <c r="T8" s="10">
        <v>0.12</v>
      </c>
      <c r="U8" s="10">
        <v>0</v>
      </c>
      <c r="V8" s="10">
        <v>0.06</v>
      </c>
      <c r="W8" s="99">
        <v>3.9</v>
      </c>
      <c r="X8" s="99">
        <v>2.64</v>
      </c>
      <c r="Y8" s="99">
        <v>1.75</v>
      </c>
      <c r="Z8" s="99">
        <v>3.62</v>
      </c>
      <c r="AA8" s="99">
        <v>1.08</v>
      </c>
      <c r="AB8" s="99">
        <v>1.62</v>
      </c>
      <c r="AC8" s="99">
        <v>0.23</v>
      </c>
      <c r="AD8" s="99">
        <v>0.91</v>
      </c>
      <c r="AE8" s="99">
        <v>0.82</v>
      </c>
      <c r="AF8" s="99">
        <v>0.08</v>
      </c>
      <c r="AG8" s="99">
        <v>0.16</v>
      </c>
      <c r="AH8" s="99">
        <v>0.06</v>
      </c>
      <c r="AI8" s="99">
        <v>7.0000000000000007E-2</v>
      </c>
      <c r="AJ8" s="99">
        <v>0</v>
      </c>
      <c r="AK8" s="99">
        <v>0.1</v>
      </c>
      <c r="AL8" s="99">
        <v>4.25</v>
      </c>
      <c r="AM8" s="21">
        <v>0.09</v>
      </c>
      <c r="AN8" s="21">
        <v>0.13</v>
      </c>
      <c r="AO8" s="21">
        <v>0.1</v>
      </c>
      <c r="AP8" s="21">
        <v>0.08</v>
      </c>
      <c r="AQ8" s="21">
        <v>0.06</v>
      </c>
      <c r="AR8" s="21">
        <v>0.1</v>
      </c>
      <c r="AS8" s="21">
        <v>0.01</v>
      </c>
      <c r="AT8" s="21">
        <v>0.24</v>
      </c>
      <c r="AU8" s="21">
        <v>0.11</v>
      </c>
      <c r="AV8" s="21">
        <v>0.05</v>
      </c>
      <c r="AW8" s="10">
        <v>0.09</v>
      </c>
      <c r="AX8" s="10">
        <v>0.01</v>
      </c>
      <c r="AY8" s="10">
        <v>0</v>
      </c>
      <c r="AZ8" s="10">
        <v>0.04</v>
      </c>
      <c r="BA8" s="99">
        <v>0.18</v>
      </c>
      <c r="BB8" s="99">
        <v>0.09</v>
      </c>
      <c r="BC8" s="99">
        <v>0</v>
      </c>
      <c r="BD8" s="99">
        <v>0.02</v>
      </c>
      <c r="BE8" s="99">
        <v>0</v>
      </c>
    </row>
    <row r="9" spans="1:57">
      <c r="A9" s="22" t="s">
        <v>9</v>
      </c>
      <c r="B9" s="2">
        <v>0</v>
      </c>
      <c r="C9" s="99">
        <v>0.56999999999999995</v>
      </c>
      <c r="D9" s="99">
        <v>0.05</v>
      </c>
      <c r="E9" s="99">
        <v>0.02</v>
      </c>
      <c r="F9" s="99">
        <v>0.06</v>
      </c>
      <c r="G9" s="10">
        <v>0.03</v>
      </c>
      <c r="H9" s="10">
        <v>0.02</v>
      </c>
      <c r="I9" s="10">
        <v>0.08</v>
      </c>
      <c r="J9" s="10">
        <v>0.02</v>
      </c>
      <c r="K9" s="10">
        <v>0.06</v>
      </c>
      <c r="L9" s="99">
        <v>0.02</v>
      </c>
      <c r="M9" s="99">
        <v>0.06</v>
      </c>
      <c r="N9" s="99">
        <v>0</v>
      </c>
      <c r="O9" s="99">
        <v>0.09</v>
      </c>
      <c r="P9" s="99">
        <v>0.02</v>
      </c>
      <c r="Q9" s="99">
        <v>0.06</v>
      </c>
      <c r="R9" s="99">
        <v>0.01</v>
      </c>
      <c r="S9" s="10">
        <v>0</v>
      </c>
      <c r="T9" s="10">
        <v>0.03</v>
      </c>
      <c r="U9" s="10">
        <v>0.05</v>
      </c>
      <c r="V9" s="10">
        <v>0</v>
      </c>
      <c r="W9" s="99">
        <v>0.02</v>
      </c>
      <c r="X9" s="99">
        <v>0</v>
      </c>
      <c r="Y9" s="99">
        <v>0.04</v>
      </c>
      <c r="Z9" s="99">
        <v>0</v>
      </c>
      <c r="AA9" s="99">
        <v>0.03</v>
      </c>
      <c r="AB9" s="99">
        <v>0.05</v>
      </c>
      <c r="AC9" s="99">
        <v>0.01</v>
      </c>
      <c r="AD9" s="99">
        <v>0.1</v>
      </c>
      <c r="AE9" s="99">
        <v>0.01</v>
      </c>
      <c r="AF9" s="99">
        <v>0</v>
      </c>
      <c r="AG9" s="99">
        <v>0.03</v>
      </c>
      <c r="AH9" s="99">
        <v>0</v>
      </c>
      <c r="AI9" s="99">
        <v>0</v>
      </c>
      <c r="AJ9" s="99">
        <v>0.01</v>
      </c>
      <c r="AK9" s="99">
        <v>0.05</v>
      </c>
      <c r="AL9" s="99">
        <v>0.06</v>
      </c>
      <c r="AM9" s="21">
        <v>0</v>
      </c>
      <c r="AN9" s="21">
        <v>7.0000000000000007E-2</v>
      </c>
      <c r="AO9" s="21">
        <v>0.05</v>
      </c>
      <c r="AP9" s="21">
        <v>0.31</v>
      </c>
      <c r="AQ9" s="21">
        <v>0</v>
      </c>
      <c r="AR9" s="21">
        <v>0</v>
      </c>
      <c r="AS9" s="21">
        <v>0.06</v>
      </c>
      <c r="AT9" s="21">
        <v>0.01</v>
      </c>
      <c r="AU9" s="21">
        <v>0</v>
      </c>
      <c r="AV9" s="21">
        <v>0.46</v>
      </c>
      <c r="AW9" s="10">
        <v>0.08</v>
      </c>
      <c r="AX9" s="10">
        <v>7.0000000000000007E-2</v>
      </c>
      <c r="AY9" s="10">
        <v>0</v>
      </c>
      <c r="AZ9" s="10">
        <v>0.08</v>
      </c>
      <c r="BA9" s="99">
        <v>0.1</v>
      </c>
      <c r="BB9" s="99">
        <v>0.12</v>
      </c>
      <c r="BC9" s="99">
        <v>0</v>
      </c>
      <c r="BD9" s="99">
        <v>0</v>
      </c>
      <c r="BE9" s="99">
        <v>0.02</v>
      </c>
    </row>
    <row r="10" spans="1:57">
      <c r="A10" s="22" t="s">
        <v>118</v>
      </c>
      <c r="B10" s="2">
        <v>3.39</v>
      </c>
      <c r="C10" s="99">
        <v>3.02</v>
      </c>
      <c r="D10" s="99">
        <v>3.04</v>
      </c>
      <c r="E10" s="99">
        <v>3.06</v>
      </c>
      <c r="F10" s="99">
        <v>4.2</v>
      </c>
      <c r="G10" s="10">
        <v>5.74</v>
      </c>
      <c r="H10" s="10">
        <v>5.98</v>
      </c>
      <c r="I10" s="10">
        <v>6.15</v>
      </c>
      <c r="J10" s="10">
        <v>5.52</v>
      </c>
      <c r="K10" s="10">
        <v>5.9</v>
      </c>
      <c r="L10" s="99">
        <v>4.5599999999999996</v>
      </c>
      <c r="M10" s="99">
        <v>4.28</v>
      </c>
      <c r="N10" s="99">
        <v>4.1500000000000004</v>
      </c>
      <c r="O10" s="99">
        <v>4.72</v>
      </c>
      <c r="P10" s="99">
        <v>4.34</v>
      </c>
      <c r="Q10" s="99">
        <v>4.62</v>
      </c>
      <c r="R10" s="99">
        <v>3.97</v>
      </c>
      <c r="S10" s="10">
        <v>4.7</v>
      </c>
      <c r="T10" s="10">
        <v>4.99</v>
      </c>
      <c r="U10" s="10">
        <v>5.23</v>
      </c>
      <c r="V10" s="10">
        <v>5.3</v>
      </c>
      <c r="W10" s="99">
        <v>2.73</v>
      </c>
      <c r="X10" s="99">
        <v>2.88</v>
      </c>
      <c r="Y10" s="99">
        <v>2.81</v>
      </c>
      <c r="Z10" s="99">
        <v>3.94</v>
      </c>
      <c r="AA10" s="99">
        <v>2.96</v>
      </c>
      <c r="AB10" s="99">
        <v>3.16</v>
      </c>
      <c r="AC10" s="99">
        <v>2.83</v>
      </c>
      <c r="AD10" s="99">
        <v>2.74</v>
      </c>
      <c r="AE10" s="99">
        <v>1.75</v>
      </c>
      <c r="AF10" s="99">
        <v>3.63</v>
      </c>
      <c r="AG10" s="99">
        <v>3.52</v>
      </c>
      <c r="AH10" s="99">
        <v>2.78</v>
      </c>
      <c r="AI10" s="99">
        <v>3.51</v>
      </c>
      <c r="AJ10" s="99">
        <v>3.22</v>
      </c>
      <c r="AK10" s="99">
        <v>2.41</v>
      </c>
      <c r="AL10" s="99">
        <v>3.11</v>
      </c>
      <c r="AM10" s="21">
        <v>3.39</v>
      </c>
      <c r="AN10" s="21">
        <v>3.48</v>
      </c>
      <c r="AO10" s="21">
        <v>3.48</v>
      </c>
      <c r="AP10" s="21">
        <v>2.76</v>
      </c>
      <c r="AQ10" s="21">
        <v>2.4900000000000002</v>
      </c>
      <c r="AR10" s="21">
        <v>3.75</v>
      </c>
      <c r="AS10" s="21">
        <v>2.5499999999999998</v>
      </c>
      <c r="AT10" s="21">
        <v>2.83</v>
      </c>
      <c r="AU10" s="21">
        <v>3.27</v>
      </c>
      <c r="AV10" s="21">
        <v>0.71</v>
      </c>
      <c r="AW10" s="10">
        <v>4.3</v>
      </c>
      <c r="AX10" s="10">
        <v>4.3899999999999997</v>
      </c>
      <c r="AY10" s="10">
        <v>4.26</v>
      </c>
      <c r="AZ10" s="10">
        <v>4.84</v>
      </c>
      <c r="BA10" s="99">
        <v>7</v>
      </c>
      <c r="BB10" s="99">
        <v>7.01</v>
      </c>
      <c r="BC10" s="99">
        <v>5.01</v>
      </c>
      <c r="BD10" s="99">
        <v>4.5999999999999996</v>
      </c>
      <c r="BE10" s="99">
        <v>5.1100000000000003</v>
      </c>
    </row>
    <row r="11" spans="1:57">
      <c r="A11" s="22" t="s">
        <v>11</v>
      </c>
      <c r="B11" s="2">
        <v>0.02</v>
      </c>
      <c r="C11" s="99">
        <v>0</v>
      </c>
      <c r="D11" s="99">
        <v>0</v>
      </c>
      <c r="E11" s="99">
        <v>0</v>
      </c>
      <c r="F11" s="99">
        <v>0</v>
      </c>
      <c r="G11" s="10">
        <v>0</v>
      </c>
      <c r="H11" s="10">
        <v>0</v>
      </c>
      <c r="I11" s="10">
        <v>0.03</v>
      </c>
      <c r="J11" s="10">
        <v>0</v>
      </c>
      <c r="K11" s="10">
        <v>0.04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10">
        <v>0</v>
      </c>
      <c r="T11" s="10">
        <v>0.06</v>
      </c>
      <c r="U11" s="10">
        <v>0.02</v>
      </c>
      <c r="V11" s="10">
        <v>0.01</v>
      </c>
      <c r="W11" s="99">
        <v>0</v>
      </c>
      <c r="X11" s="99">
        <v>0.01</v>
      </c>
      <c r="Y11" s="99">
        <v>0.03</v>
      </c>
      <c r="Z11" s="99">
        <v>0</v>
      </c>
      <c r="AA11" s="99">
        <v>0.03</v>
      </c>
      <c r="AB11" s="99">
        <v>0.04</v>
      </c>
      <c r="AC11" s="99">
        <v>0.03</v>
      </c>
      <c r="AD11" s="99">
        <v>0.02</v>
      </c>
      <c r="AE11" s="99">
        <v>0</v>
      </c>
      <c r="AF11" s="99">
        <v>0</v>
      </c>
      <c r="AG11" s="99">
        <v>0</v>
      </c>
      <c r="AH11" s="99">
        <v>0</v>
      </c>
      <c r="AI11" s="99">
        <v>0</v>
      </c>
      <c r="AJ11" s="99">
        <v>0</v>
      </c>
      <c r="AK11" s="99">
        <v>0</v>
      </c>
      <c r="AL11" s="99">
        <v>0</v>
      </c>
      <c r="AM11" s="21">
        <v>0.02</v>
      </c>
      <c r="AN11" s="21">
        <v>0.05</v>
      </c>
      <c r="AO11" s="21">
        <v>0.06</v>
      </c>
      <c r="AP11" s="21">
        <v>0.02</v>
      </c>
      <c r="AQ11" s="21">
        <v>0</v>
      </c>
      <c r="AR11" s="21">
        <v>0</v>
      </c>
      <c r="AS11" s="21">
        <v>0.14000000000000001</v>
      </c>
      <c r="AT11" s="21">
        <v>0.03</v>
      </c>
      <c r="AU11" s="21">
        <v>7.0000000000000007E-2</v>
      </c>
      <c r="AV11" s="21">
        <v>0</v>
      </c>
      <c r="AW11" s="10">
        <v>0.44</v>
      </c>
      <c r="AX11" s="10">
        <v>0</v>
      </c>
      <c r="AY11" s="10">
        <v>0</v>
      </c>
      <c r="AZ11" s="10">
        <v>0.02</v>
      </c>
      <c r="BA11" s="99">
        <v>0.01</v>
      </c>
      <c r="BB11" s="99">
        <v>0.02</v>
      </c>
      <c r="BC11" s="99">
        <v>0.09</v>
      </c>
      <c r="BD11" s="99">
        <v>0.06</v>
      </c>
      <c r="BE11" s="99">
        <v>0</v>
      </c>
    </row>
    <row r="12" spans="1:57">
      <c r="A12" s="22" t="s">
        <v>12</v>
      </c>
      <c r="B12" s="2">
        <v>7.2</v>
      </c>
      <c r="C12" s="99">
        <v>7.5</v>
      </c>
      <c r="D12" s="99">
        <v>7.33</v>
      </c>
      <c r="E12" s="99">
        <v>7.42</v>
      </c>
      <c r="F12" s="99">
        <v>7.25</v>
      </c>
      <c r="G12" s="10">
        <v>6.45</v>
      </c>
      <c r="H12" s="10">
        <v>6.47</v>
      </c>
      <c r="I12" s="10">
        <v>6.65</v>
      </c>
      <c r="J12" s="10">
        <v>6.16</v>
      </c>
      <c r="K12" s="10">
        <v>6.48</v>
      </c>
      <c r="L12" s="99">
        <v>7.51</v>
      </c>
      <c r="M12" s="99">
        <v>7.48</v>
      </c>
      <c r="N12" s="99">
        <v>7.41</v>
      </c>
      <c r="O12" s="99">
        <v>7.56</v>
      </c>
      <c r="P12" s="99">
        <v>6.77</v>
      </c>
      <c r="Q12" s="99">
        <v>7.49</v>
      </c>
      <c r="R12" s="99">
        <v>7.49</v>
      </c>
      <c r="S12" s="10">
        <v>8.17</v>
      </c>
      <c r="T12" s="10">
        <v>8.07</v>
      </c>
      <c r="U12" s="10">
        <v>8.16</v>
      </c>
      <c r="V12" s="10">
        <v>8.16</v>
      </c>
      <c r="W12" s="99">
        <v>6.04</v>
      </c>
      <c r="X12" s="99">
        <v>5.75</v>
      </c>
      <c r="Y12" s="99">
        <v>6.29</v>
      </c>
      <c r="Z12" s="99">
        <v>4.43</v>
      </c>
      <c r="AA12" s="99">
        <v>6.07</v>
      </c>
      <c r="AB12" s="99">
        <v>7.02</v>
      </c>
      <c r="AC12" s="99">
        <v>6.26</v>
      </c>
      <c r="AD12" s="99">
        <v>6.43</v>
      </c>
      <c r="AE12" s="99">
        <v>6</v>
      </c>
      <c r="AF12" s="99">
        <v>7.28</v>
      </c>
      <c r="AG12" s="99">
        <v>6.73</v>
      </c>
      <c r="AH12" s="99">
        <v>6.68</v>
      </c>
      <c r="AI12" s="99">
        <v>6.7</v>
      </c>
      <c r="AJ12" s="99">
        <v>7.4</v>
      </c>
      <c r="AK12" s="99">
        <v>6.38</v>
      </c>
      <c r="AL12" s="99">
        <v>7.02</v>
      </c>
      <c r="AM12" s="21">
        <v>7.2</v>
      </c>
      <c r="AN12" s="21">
        <v>7.27</v>
      </c>
      <c r="AO12" s="21">
        <v>7.02</v>
      </c>
      <c r="AP12" s="21">
        <v>6.68</v>
      </c>
      <c r="AQ12" s="21">
        <v>6.35</v>
      </c>
      <c r="AR12" s="21">
        <v>7.26</v>
      </c>
      <c r="AS12" s="21">
        <v>6.33</v>
      </c>
      <c r="AT12" s="21">
        <v>6.48</v>
      </c>
      <c r="AU12" s="21">
        <v>6.99</v>
      </c>
      <c r="AV12" s="21">
        <v>6.11</v>
      </c>
      <c r="AW12" s="10">
        <v>7.82</v>
      </c>
      <c r="AX12" s="10">
        <v>7.94</v>
      </c>
      <c r="AY12" s="10">
        <v>7.43</v>
      </c>
      <c r="AZ12" s="10">
        <v>7.71</v>
      </c>
      <c r="BA12" s="99">
        <v>8.1300000000000008</v>
      </c>
      <c r="BB12" s="99">
        <v>6.87</v>
      </c>
      <c r="BC12" s="99">
        <v>7.71</v>
      </c>
      <c r="BD12" s="99">
        <v>7.08</v>
      </c>
      <c r="BE12" s="99">
        <v>7.99</v>
      </c>
    </row>
    <row r="13" spans="1:57">
      <c r="A13" s="22" t="s">
        <v>13</v>
      </c>
      <c r="B13" s="2">
        <v>55.82</v>
      </c>
      <c r="C13" s="99">
        <v>56.69</v>
      </c>
      <c r="D13" s="99">
        <v>56.58</v>
      </c>
      <c r="E13" s="99">
        <v>56.49</v>
      </c>
      <c r="F13" s="99">
        <v>55.63</v>
      </c>
      <c r="G13" s="10">
        <v>55.4</v>
      </c>
      <c r="H13" s="10">
        <v>55.42</v>
      </c>
      <c r="I13" s="10">
        <v>55.09</v>
      </c>
      <c r="J13" s="10">
        <v>54.95</v>
      </c>
      <c r="K13" s="10">
        <v>54.4</v>
      </c>
      <c r="L13" s="99">
        <v>55.79</v>
      </c>
      <c r="M13" s="99">
        <v>55.63</v>
      </c>
      <c r="N13" s="99">
        <v>55.77</v>
      </c>
      <c r="O13" s="99">
        <v>55.58</v>
      </c>
      <c r="P13" s="99">
        <v>56.12</v>
      </c>
      <c r="Q13" s="99">
        <v>55.82</v>
      </c>
      <c r="R13" s="99">
        <v>55.41</v>
      </c>
      <c r="S13" s="10">
        <v>55.48</v>
      </c>
      <c r="T13" s="10">
        <v>55.72</v>
      </c>
      <c r="U13" s="10">
        <v>55</v>
      </c>
      <c r="V13" s="10">
        <v>56</v>
      </c>
      <c r="W13" s="99">
        <v>57.52</v>
      </c>
      <c r="X13" s="99">
        <v>58.1</v>
      </c>
      <c r="Y13" s="99">
        <v>58.15</v>
      </c>
      <c r="Z13" s="99">
        <v>54.4</v>
      </c>
      <c r="AA13" s="99">
        <v>55.49</v>
      </c>
      <c r="AB13" s="99">
        <v>56.21</v>
      </c>
      <c r="AC13" s="99">
        <v>55.83</v>
      </c>
      <c r="AD13" s="99">
        <v>57.09</v>
      </c>
      <c r="AE13" s="99">
        <v>55.23</v>
      </c>
      <c r="AF13" s="99">
        <v>55.73</v>
      </c>
      <c r="AG13" s="99">
        <v>55.77</v>
      </c>
      <c r="AH13" s="99">
        <v>55.97</v>
      </c>
      <c r="AI13" s="99">
        <v>55.83</v>
      </c>
      <c r="AJ13" s="99">
        <v>56</v>
      </c>
      <c r="AK13" s="99">
        <v>56.16</v>
      </c>
      <c r="AL13" s="99">
        <v>55.05</v>
      </c>
      <c r="AM13" s="21">
        <v>55.82</v>
      </c>
      <c r="AN13" s="21">
        <v>55.73</v>
      </c>
      <c r="AO13" s="21">
        <v>55.26</v>
      </c>
      <c r="AP13" s="21">
        <v>55.49</v>
      </c>
      <c r="AQ13" s="21">
        <v>56.01</v>
      </c>
      <c r="AR13" s="21">
        <v>55.91</v>
      </c>
      <c r="AS13" s="21">
        <v>56.05</v>
      </c>
      <c r="AT13" s="21">
        <v>56.09</v>
      </c>
      <c r="AU13" s="21">
        <v>55.32</v>
      </c>
      <c r="AV13" s="21">
        <v>49.26</v>
      </c>
      <c r="AW13" s="10">
        <v>55.82</v>
      </c>
      <c r="AX13" s="10">
        <v>55.99</v>
      </c>
      <c r="AY13" s="10">
        <v>56.18</v>
      </c>
      <c r="AZ13" s="10">
        <v>55.56</v>
      </c>
      <c r="BA13" s="99">
        <v>56.9</v>
      </c>
      <c r="BB13" s="99">
        <v>55.91</v>
      </c>
      <c r="BC13" s="99">
        <v>55.62</v>
      </c>
      <c r="BD13" s="99">
        <v>55.11</v>
      </c>
      <c r="BE13" s="99">
        <v>55.69</v>
      </c>
    </row>
    <row r="14" spans="1:57">
      <c r="A14" s="22" t="s">
        <v>14</v>
      </c>
      <c r="B14" s="2">
        <v>12.47</v>
      </c>
      <c r="C14" s="99">
        <v>11.76</v>
      </c>
      <c r="D14" s="99">
        <v>11.59</v>
      </c>
      <c r="E14" s="99">
        <v>11.64</v>
      </c>
      <c r="F14" s="99">
        <v>11.67</v>
      </c>
      <c r="G14" s="10">
        <v>9.73</v>
      </c>
      <c r="H14" s="10">
        <v>9.85</v>
      </c>
      <c r="I14" s="10">
        <v>9.94</v>
      </c>
      <c r="J14" s="10">
        <v>9.56</v>
      </c>
      <c r="K14" s="10">
        <v>9.5</v>
      </c>
      <c r="L14" s="99">
        <v>11.91</v>
      </c>
      <c r="M14" s="99">
        <v>11.51</v>
      </c>
      <c r="N14" s="99">
        <v>11.74</v>
      </c>
      <c r="O14" s="99">
        <v>12.07</v>
      </c>
      <c r="P14" s="99">
        <v>10.91</v>
      </c>
      <c r="Q14" s="99">
        <v>12.12</v>
      </c>
      <c r="R14" s="99">
        <v>12</v>
      </c>
      <c r="S14" s="10">
        <v>13.67</v>
      </c>
      <c r="T14" s="10">
        <v>13.65</v>
      </c>
      <c r="U14" s="10">
        <v>13.23</v>
      </c>
      <c r="V14" s="10">
        <v>12.41</v>
      </c>
      <c r="W14" s="99">
        <v>8.6999999999999993</v>
      </c>
      <c r="X14" s="99">
        <v>8.66</v>
      </c>
      <c r="Y14" s="99">
        <v>9.8000000000000007</v>
      </c>
      <c r="Z14" s="99">
        <v>5.47</v>
      </c>
      <c r="AA14" s="99">
        <v>9.32</v>
      </c>
      <c r="AB14" s="99">
        <v>10.33</v>
      </c>
      <c r="AC14" s="99">
        <v>11.31</v>
      </c>
      <c r="AD14" s="99">
        <v>10.4</v>
      </c>
      <c r="AE14" s="99">
        <v>10.28</v>
      </c>
      <c r="AF14" s="99">
        <v>12.22</v>
      </c>
      <c r="AG14" s="99">
        <v>11.51</v>
      </c>
      <c r="AH14" s="99">
        <v>11.02</v>
      </c>
      <c r="AI14" s="99">
        <v>11.38</v>
      </c>
      <c r="AJ14" s="99">
        <v>11.42</v>
      </c>
      <c r="AK14" s="99">
        <v>10.83</v>
      </c>
      <c r="AL14" s="99">
        <v>9.64</v>
      </c>
      <c r="AM14" s="21">
        <v>12.47</v>
      </c>
      <c r="AN14" s="21">
        <v>12.9</v>
      </c>
      <c r="AO14" s="21">
        <v>12.27</v>
      </c>
      <c r="AP14" s="21">
        <v>11.27</v>
      </c>
      <c r="AQ14" s="21">
        <v>11.28</v>
      </c>
      <c r="AR14" s="21">
        <v>11.2</v>
      </c>
      <c r="AS14" s="21">
        <v>11.13</v>
      </c>
      <c r="AT14" s="21">
        <v>11.27</v>
      </c>
      <c r="AU14" s="21">
        <v>12.24</v>
      </c>
      <c r="AV14" s="21">
        <v>41.13</v>
      </c>
      <c r="AW14" s="10">
        <v>13.33</v>
      </c>
      <c r="AX14" s="10">
        <v>12.97</v>
      </c>
      <c r="AY14" s="10">
        <v>12.78</v>
      </c>
      <c r="AZ14" s="10">
        <v>11.55</v>
      </c>
      <c r="BA14" s="99">
        <v>10.84</v>
      </c>
      <c r="BB14" s="99">
        <v>10.199999999999999</v>
      </c>
      <c r="BC14" s="99">
        <v>11.4</v>
      </c>
      <c r="BD14" s="99">
        <v>11.74</v>
      </c>
      <c r="BE14" s="99">
        <v>11.82</v>
      </c>
    </row>
    <row r="15" spans="1:57">
      <c r="A15" s="22" t="s">
        <v>15</v>
      </c>
      <c r="B15" s="2">
        <v>8.26</v>
      </c>
      <c r="C15" s="99">
        <v>8.4</v>
      </c>
      <c r="D15" s="99">
        <v>8.67</v>
      </c>
      <c r="E15" s="99">
        <v>8.36</v>
      </c>
      <c r="F15" s="99">
        <v>8.0399999999999991</v>
      </c>
      <c r="G15" s="10">
        <v>8.49</v>
      </c>
      <c r="H15" s="10">
        <v>7.98</v>
      </c>
      <c r="I15" s="10">
        <v>8.44</v>
      </c>
      <c r="J15" s="10">
        <v>8.67</v>
      </c>
      <c r="K15" s="10">
        <v>8.48</v>
      </c>
      <c r="L15" s="99">
        <v>7.55</v>
      </c>
      <c r="M15" s="99">
        <v>7.82</v>
      </c>
      <c r="N15" s="99">
        <v>7.7</v>
      </c>
      <c r="O15" s="99">
        <v>7.37</v>
      </c>
      <c r="P15" s="99">
        <v>8.59</v>
      </c>
      <c r="Q15" s="99">
        <v>7.79</v>
      </c>
      <c r="R15" s="99">
        <v>8.01</v>
      </c>
      <c r="S15" s="10">
        <v>6.26</v>
      </c>
      <c r="T15" s="10">
        <v>6.36</v>
      </c>
      <c r="U15" s="10">
        <v>6.43</v>
      </c>
      <c r="V15" s="10">
        <v>6.97</v>
      </c>
      <c r="W15" s="99">
        <v>9.9700000000000006</v>
      </c>
      <c r="X15" s="99">
        <v>10.7</v>
      </c>
      <c r="Y15" s="99">
        <v>9.94</v>
      </c>
      <c r="Z15" s="99">
        <v>11.2</v>
      </c>
      <c r="AA15" s="99">
        <v>11.05</v>
      </c>
      <c r="AB15" s="99">
        <v>10.119999999999999</v>
      </c>
      <c r="AC15" s="99">
        <v>10.45</v>
      </c>
      <c r="AD15" s="99">
        <v>10.17</v>
      </c>
      <c r="AE15" s="99">
        <v>10.16</v>
      </c>
      <c r="AF15" s="99">
        <v>8.32</v>
      </c>
      <c r="AG15" s="99">
        <v>8.3699999999999992</v>
      </c>
      <c r="AH15" s="99">
        <v>9.1199999999999992</v>
      </c>
      <c r="AI15" s="99">
        <v>8.2899999999999991</v>
      </c>
      <c r="AJ15" s="99">
        <v>8.3699999999999992</v>
      </c>
      <c r="AK15" s="99">
        <v>9.4</v>
      </c>
      <c r="AL15" s="99">
        <v>7.84</v>
      </c>
      <c r="AM15" s="21">
        <v>8.26</v>
      </c>
      <c r="AN15" s="21">
        <v>8.14</v>
      </c>
      <c r="AO15" s="21">
        <v>8.66</v>
      </c>
      <c r="AP15" s="21">
        <v>9.7100000000000009</v>
      </c>
      <c r="AQ15" s="21">
        <v>9.7200000000000006</v>
      </c>
      <c r="AR15" s="21">
        <v>8.51</v>
      </c>
      <c r="AS15" s="21">
        <v>9.61</v>
      </c>
      <c r="AT15" s="21">
        <v>9.43</v>
      </c>
      <c r="AU15" s="21">
        <v>8.1300000000000008</v>
      </c>
      <c r="AV15" s="21">
        <v>0.32</v>
      </c>
      <c r="AW15" s="10">
        <v>6.95</v>
      </c>
      <c r="AX15" s="10">
        <v>7.05</v>
      </c>
      <c r="AY15" s="10">
        <v>7.33</v>
      </c>
      <c r="AZ15" s="10">
        <v>7.2</v>
      </c>
      <c r="BA15" s="99">
        <v>7.72</v>
      </c>
      <c r="BB15" s="99">
        <v>7.88</v>
      </c>
      <c r="BC15" s="99">
        <v>7.42</v>
      </c>
      <c r="BD15" s="99">
        <v>7.43</v>
      </c>
      <c r="BE15" s="99">
        <v>7.02</v>
      </c>
    </row>
    <row r="16" spans="1:57">
      <c r="A16" s="1" t="s">
        <v>16</v>
      </c>
      <c r="B16" s="36">
        <f t="shared" ref="B16:Q16" si="0">SUM(B5:B15)</f>
        <v>99.7</v>
      </c>
      <c r="C16" s="36">
        <f t="shared" si="0"/>
        <v>101.11</v>
      </c>
      <c r="D16" s="36">
        <f t="shared" si="0"/>
        <v>100.48</v>
      </c>
      <c r="E16" s="36">
        <f t="shared" si="0"/>
        <v>100.11</v>
      </c>
      <c r="F16" s="36">
        <f t="shared" si="0"/>
        <v>99.890000000000015</v>
      </c>
      <c r="G16" s="36">
        <f t="shared" si="0"/>
        <v>99.179999999999993</v>
      </c>
      <c r="H16" s="36">
        <f t="shared" si="0"/>
        <v>99.1</v>
      </c>
      <c r="I16" s="36">
        <f t="shared" si="0"/>
        <v>99.42</v>
      </c>
      <c r="J16" s="36">
        <f t="shared" si="0"/>
        <v>98.070000000000007</v>
      </c>
      <c r="K16" s="36">
        <f t="shared" si="0"/>
        <v>98.42</v>
      </c>
      <c r="L16" s="36">
        <f t="shared" si="0"/>
        <v>99.33</v>
      </c>
      <c r="M16" s="36">
        <f t="shared" si="0"/>
        <v>98.72</v>
      </c>
      <c r="N16" s="36">
        <f t="shared" si="0"/>
        <v>98.88</v>
      </c>
      <c r="O16" s="36">
        <f t="shared" si="0"/>
        <v>99.6</v>
      </c>
      <c r="P16" s="36">
        <f t="shared" si="0"/>
        <v>100.13</v>
      </c>
      <c r="Q16" s="36">
        <f t="shared" si="0"/>
        <v>100.05000000000001</v>
      </c>
      <c r="R16" s="36">
        <f t="shared" ref="R16:AG16" si="1">SUM(R5:R15)</f>
        <v>99.46</v>
      </c>
      <c r="S16" s="36">
        <f t="shared" si="1"/>
        <v>99.27000000000001</v>
      </c>
      <c r="T16" s="36">
        <f t="shared" si="1"/>
        <v>99.79</v>
      </c>
      <c r="U16" s="36">
        <f t="shared" si="1"/>
        <v>99.06</v>
      </c>
      <c r="V16" s="36">
        <f t="shared" si="1"/>
        <v>100.66999999999999</v>
      </c>
      <c r="W16" s="36">
        <f t="shared" si="1"/>
        <v>103.83</v>
      </c>
      <c r="X16" s="36">
        <f t="shared" si="1"/>
        <v>104.74</v>
      </c>
      <c r="Y16" s="36">
        <f t="shared" si="1"/>
        <v>104.38999999999999</v>
      </c>
      <c r="Z16" s="36">
        <f t="shared" si="1"/>
        <v>101.53</v>
      </c>
      <c r="AA16" s="36">
        <f t="shared" si="1"/>
        <v>101.61999999999999</v>
      </c>
      <c r="AB16" s="36">
        <f t="shared" si="1"/>
        <v>102.87</v>
      </c>
      <c r="AC16" s="36">
        <f t="shared" si="1"/>
        <v>102.24</v>
      </c>
      <c r="AD16" s="36">
        <f t="shared" si="1"/>
        <v>102.37</v>
      </c>
      <c r="AE16" s="36">
        <f t="shared" si="1"/>
        <v>98.859999999999985</v>
      </c>
      <c r="AF16" s="36">
        <f t="shared" si="1"/>
        <v>99.97</v>
      </c>
      <c r="AG16" s="36">
        <f t="shared" si="1"/>
        <v>99.250000000000014</v>
      </c>
      <c r="AH16" s="36">
        <f t="shared" ref="AH16:AW16" si="2">SUM(AH5:AH15)</f>
        <v>99</v>
      </c>
      <c r="AI16" s="36">
        <f t="shared" si="2"/>
        <v>99.12</v>
      </c>
      <c r="AJ16" s="36">
        <f t="shared" si="2"/>
        <v>99.17</v>
      </c>
      <c r="AK16" s="36">
        <f t="shared" si="2"/>
        <v>99.4</v>
      </c>
      <c r="AL16" s="36">
        <f t="shared" si="2"/>
        <v>99.36</v>
      </c>
      <c r="AM16" s="36">
        <f t="shared" si="2"/>
        <v>99.7</v>
      </c>
      <c r="AN16" s="36">
        <f t="shared" si="2"/>
        <v>100.2</v>
      </c>
      <c r="AO16" s="36">
        <f t="shared" si="2"/>
        <v>99.899999999999991</v>
      </c>
      <c r="AP16" s="36">
        <f t="shared" si="2"/>
        <v>100.38999999999999</v>
      </c>
      <c r="AQ16" s="36">
        <f t="shared" si="2"/>
        <v>99.86</v>
      </c>
      <c r="AR16" s="36">
        <f t="shared" si="2"/>
        <v>99.360000000000014</v>
      </c>
      <c r="AS16" s="36">
        <f t="shared" si="2"/>
        <v>99.809999999999988</v>
      </c>
      <c r="AT16" s="36">
        <f t="shared" si="2"/>
        <v>99.87</v>
      </c>
      <c r="AU16" s="36">
        <f t="shared" si="2"/>
        <v>98.83</v>
      </c>
      <c r="AV16" s="36">
        <f t="shared" si="2"/>
        <v>99.97</v>
      </c>
      <c r="AW16" s="36">
        <f t="shared" si="2"/>
        <v>100.22</v>
      </c>
      <c r="AX16" s="36">
        <f t="shared" ref="AX16:BE16" si="3">SUM(AX5:AX15)</f>
        <v>99.77</v>
      </c>
      <c r="AY16" s="36">
        <f t="shared" si="3"/>
        <v>99.64</v>
      </c>
      <c r="AZ16" s="36">
        <f t="shared" si="3"/>
        <v>98.06</v>
      </c>
      <c r="BA16" s="36">
        <f t="shared" si="3"/>
        <v>102.35</v>
      </c>
      <c r="BB16" s="36">
        <f t="shared" si="3"/>
        <v>100.49999999999999</v>
      </c>
      <c r="BC16" s="36">
        <f t="shared" si="3"/>
        <v>98.570000000000007</v>
      </c>
      <c r="BD16" s="36">
        <f t="shared" si="3"/>
        <v>98.34</v>
      </c>
      <c r="BE16" s="36">
        <f t="shared" si="3"/>
        <v>98.59999999999998</v>
      </c>
    </row>
    <row r="17" spans="1:57" hidden="1">
      <c r="A17" s="22" t="s">
        <v>206</v>
      </c>
      <c r="B17" s="36">
        <f t="shared" ref="B17:Q17" si="4">6/((B6/56.08)+(B7/79.9*2)+(B10/71.85)+(B9/70.94)+(B8/152.02*3)+(B13/60.09*2)+(B14/101.94*3)+(B15/40.32)+(B11/74.71)+(B5/94.2)+(B12/61.982))</f>
        <v>2.1291864165803149</v>
      </c>
      <c r="C17" s="36">
        <f t="shared" si="4"/>
        <v>2.1067650348786233</v>
      </c>
      <c r="D17" s="36">
        <f t="shared" si="4"/>
        <v>2.1151625505701954</v>
      </c>
      <c r="E17" s="36">
        <f t="shared" si="4"/>
        <v>2.1226068765859276</v>
      </c>
      <c r="F17" s="36">
        <f t="shared" si="4"/>
        <v>2.1401096190086539</v>
      </c>
      <c r="G17" s="36">
        <f t="shared" si="4"/>
        <v>2.1709967599379558</v>
      </c>
      <c r="H17" s="36">
        <f t="shared" si="4"/>
        <v>2.1743142065719279</v>
      </c>
      <c r="I17" s="36">
        <f t="shared" si="4"/>
        <v>2.1715938365029923</v>
      </c>
      <c r="J17" s="36">
        <f t="shared" si="4"/>
        <v>2.1919735426485052</v>
      </c>
      <c r="K17" s="36">
        <f t="shared" si="4"/>
        <v>2.1968818670925807</v>
      </c>
      <c r="L17" s="36">
        <f t="shared" si="4"/>
        <v>2.1473603325955244</v>
      </c>
      <c r="M17" s="36">
        <f t="shared" si="4"/>
        <v>2.159306783270619</v>
      </c>
      <c r="N17" s="36">
        <f t="shared" si="4"/>
        <v>2.1533814098361921</v>
      </c>
      <c r="O17" s="36">
        <f t="shared" si="4"/>
        <v>2.1463033215788432</v>
      </c>
      <c r="P17" s="36">
        <f t="shared" si="4"/>
        <v>2.1340464246956952</v>
      </c>
      <c r="Q17" s="36">
        <f t="shared" si="4"/>
        <v>2.1344234892891905</v>
      </c>
      <c r="R17" s="36">
        <f t="shared" ref="R17:AG17" si="5">6/((R6/56.08)+(R7/79.9*2)+(R10/71.85)+(R9/70.94)+(R8/152.02*3)+(R13/60.09*2)+(R14/101.94*3)+(R15/40.32)+(R11/74.71)+(R5/94.2)+(R12/61.982))</f>
        <v>2.1454142855008422</v>
      </c>
      <c r="S17" s="36">
        <f t="shared" si="5"/>
        <v>2.1444187930606589</v>
      </c>
      <c r="T17" s="36">
        <f t="shared" si="5"/>
        <v>2.1350097593052424</v>
      </c>
      <c r="U17" s="36">
        <f t="shared" si="5"/>
        <v>2.1576801928064588</v>
      </c>
      <c r="V17" s="36">
        <f t="shared" si="5"/>
        <v>2.1284971442305638</v>
      </c>
      <c r="W17" s="36">
        <f t="shared" si="5"/>
        <v>2.0701544708825774</v>
      </c>
      <c r="X17" s="36">
        <f t="shared" si="5"/>
        <v>2.0511545850762807</v>
      </c>
      <c r="Y17" s="36">
        <f t="shared" si="5"/>
        <v>2.0512379118404205</v>
      </c>
      <c r="Z17" s="36">
        <f t="shared" si="5"/>
        <v>2.1602335906709134</v>
      </c>
      <c r="AA17" s="36">
        <f t="shared" si="5"/>
        <v>2.1165109280680285</v>
      </c>
      <c r="AB17" s="36">
        <f t="shared" si="5"/>
        <v>2.0889698022120844</v>
      </c>
      <c r="AC17" s="36">
        <f t="shared" si="5"/>
        <v>2.0913790600097553</v>
      </c>
      <c r="AD17" s="36">
        <f t="shared" si="5"/>
        <v>2.0839672461197933</v>
      </c>
      <c r="AE17" s="36">
        <f t="shared" si="5"/>
        <v>2.1493977415061205</v>
      </c>
      <c r="AF17" s="36">
        <f t="shared" si="5"/>
        <v>2.1295600964123875</v>
      </c>
      <c r="AG17" s="36">
        <f t="shared" si="5"/>
        <v>2.1436797065366622</v>
      </c>
      <c r="AH17" s="36">
        <f t="shared" ref="AH17:AW17" si="6">6/((AH6/56.08)+(AH7/79.9*2)+(AH10/71.85)+(AH9/70.94)+(AH8/152.02*3)+(AH13/60.09*2)+(AH14/101.94*3)+(AH15/40.32)+(AH11/74.71)+(AH5/94.2)+(AH12/61.982))</f>
        <v>2.1430181407433171</v>
      </c>
      <c r="AI17" s="36">
        <f t="shared" si="6"/>
        <v>2.1462511131162767</v>
      </c>
      <c r="AJ17" s="36">
        <f t="shared" si="6"/>
        <v>2.1429431170113804</v>
      </c>
      <c r="AK17" s="36">
        <f t="shared" si="6"/>
        <v>2.1338545470799555</v>
      </c>
      <c r="AL17" s="36">
        <f t="shared" si="6"/>
        <v>2.1641574245445057</v>
      </c>
      <c r="AM17" s="36">
        <f t="shared" si="6"/>
        <v>2.1291864165803149</v>
      </c>
      <c r="AN17" s="36">
        <f t="shared" si="6"/>
        <v>2.1206690904621701</v>
      </c>
      <c r="AO17" s="36">
        <f t="shared" si="6"/>
        <v>2.1329788520254516</v>
      </c>
      <c r="AP17" s="36">
        <f t="shared" si="6"/>
        <v>2.1256947255340006</v>
      </c>
      <c r="AQ17" s="36">
        <f t="shared" si="6"/>
        <v>2.1243307731866841</v>
      </c>
      <c r="AR17" s="36">
        <f t="shared" si="6"/>
        <v>2.1439070962061932</v>
      </c>
      <c r="AS17" s="36">
        <f t="shared" si="6"/>
        <v>2.1267420713912415</v>
      </c>
      <c r="AT17" s="36">
        <f t="shared" si="6"/>
        <v>2.1256418153030405</v>
      </c>
      <c r="AU17" s="36">
        <f t="shared" si="6"/>
        <v>2.1489794634900634</v>
      </c>
      <c r="AV17" s="36">
        <f t="shared" si="6"/>
        <v>2.0003290223435033</v>
      </c>
      <c r="AW17" s="36">
        <f t="shared" si="6"/>
        <v>2.1258016084135001</v>
      </c>
      <c r="AX17" s="36">
        <f t="shared" ref="AX17:BE17" si="7">6/((AX6/56.08)+(AX7/79.9*2)+(AX10/71.85)+(AX9/70.94)+(AX8/152.02*3)+(AX13/60.09*2)+(AX14/101.94*3)+(AX15/40.32)+(AX11/74.71)+(AX5/94.2)+(AX12/61.982))</f>
        <v>2.1325155401902931</v>
      </c>
      <c r="AY17" s="36">
        <f t="shared" si="7"/>
        <v>2.1309587687051561</v>
      </c>
      <c r="AZ17" s="36">
        <f t="shared" si="7"/>
        <v>2.1747546022936159</v>
      </c>
      <c r="BA17" s="36">
        <f t="shared" si="7"/>
        <v>2.110320124696603</v>
      </c>
      <c r="BB17" s="36">
        <f t="shared" si="7"/>
        <v>2.1504061070186808</v>
      </c>
      <c r="BC17" s="36">
        <f t="shared" si="7"/>
        <v>2.1672976055263256</v>
      </c>
      <c r="BD17" s="36">
        <f t="shared" si="7"/>
        <v>2.1708062654663984</v>
      </c>
      <c r="BE17" s="36">
        <f t="shared" si="7"/>
        <v>2.1647713703531934</v>
      </c>
    </row>
    <row r="18" spans="1:57" hidden="1">
      <c r="A18" s="22" t="s">
        <v>207</v>
      </c>
      <c r="B18" s="36">
        <f t="shared" ref="B18:Q18" si="8">(B5/94.2*B17*2)+(B6/56.08*B17)+(B7/79.9*B17)+(B8/152.02*B17*2)+(B9/70.94*B17)+(B10/71.85*B17)+(B11/74.71*B17)+(B12/61.982*B17*2)+(B13/60.09*B17)+(B14/101.94*B17*2)+(B15/40.32*B17)</f>
        <v>4.0044904443197158</v>
      </c>
      <c r="C18" s="36">
        <f t="shared" si="8"/>
        <v>4.0207217126518682</v>
      </c>
      <c r="D18" s="36">
        <f t="shared" si="8"/>
        <v>4.0162703614197621</v>
      </c>
      <c r="E18" s="36">
        <f t="shared" si="8"/>
        <v>4.0149267106669626</v>
      </c>
      <c r="F18" s="36">
        <f t="shared" si="8"/>
        <v>4.0219438265376244</v>
      </c>
      <c r="G18" s="36">
        <f t="shared" si="8"/>
        <v>4.0146633046508429</v>
      </c>
      <c r="H18" s="36">
        <f t="shared" si="8"/>
        <v>4.0089653267257788</v>
      </c>
      <c r="I18" s="36">
        <f t="shared" si="8"/>
        <v>4.0281257906552534</v>
      </c>
      <c r="J18" s="36">
        <f t="shared" si="8"/>
        <v>4.0063421672921118</v>
      </c>
      <c r="K18" s="36">
        <f t="shared" si="8"/>
        <v>4.0330635236087824</v>
      </c>
      <c r="L18" s="36">
        <f t="shared" si="8"/>
        <v>4.0121954792480778</v>
      </c>
      <c r="M18" s="36">
        <f t="shared" si="8"/>
        <v>4.0160779549437917</v>
      </c>
      <c r="N18" s="36">
        <f t="shared" si="8"/>
        <v>4.0093015029627423</v>
      </c>
      <c r="O18" s="36">
        <f t="shared" si="8"/>
        <v>4.018513921956087</v>
      </c>
      <c r="P18" s="36">
        <f t="shared" si="8"/>
        <v>4.0076366266833467</v>
      </c>
      <c r="Q18" s="36">
        <f t="shared" si="8"/>
        <v>4.018413618134657</v>
      </c>
      <c r="R18" s="36">
        <f t="shared" ref="R18:AG18" si="9">(R5/94.2*R17*2)+(R6/56.08*R17)+(R7/79.9*R17)+(R8/152.02*R17*2)+(R9/70.94*R17)+(R10/71.85*R17)+(R11/74.71*R17)+(R12/61.982*R17*2)+(R13/60.09*R17)+(R14/101.94*R17*2)+(R15/40.32*R17)</f>
        <v>4.0270581230679579</v>
      </c>
      <c r="S18" s="36">
        <f t="shared" si="9"/>
        <v>4.0126573580818183</v>
      </c>
      <c r="T18" s="36">
        <f t="shared" si="9"/>
        <v>4.0082606336453903</v>
      </c>
      <c r="U18" s="36">
        <f t="shared" si="9"/>
        <v>4.025716795527198</v>
      </c>
      <c r="V18" s="36">
        <f t="shared" si="9"/>
        <v>4.0346109532185173</v>
      </c>
      <c r="W18" s="36">
        <f t="shared" si="9"/>
        <v>3.9855889338723349</v>
      </c>
      <c r="X18" s="36">
        <f t="shared" si="9"/>
        <v>3.994284789001501</v>
      </c>
      <c r="Y18" s="36">
        <f t="shared" si="9"/>
        <v>3.9995151204594448</v>
      </c>
      <c r="Z18" s="36">
        <f t="shared" si="9"/>
        <v>4.0274535518212513</v>
      </c>
      <c r="AA18" s="36">
        <f t="shared" si="9"/>
        <v>4.0428391859557928</v>
      </c>
      <c r="AB18" s="36">
        <f t="shared" si="9"/>
        <v>4.0464719760515679</v>
      </c>
      <c r="AC18" s="36">
        <f t="shared" si="9"/>
        <v>4.0308179107215611</v>
      </c>
      <c r="AD18" s="36">
        <f t="shared" si="9"/>
        <v>4.0095781230661807</v>
      </c>
      <c r="AE18" s="36">
        <f t="shared" si="9"/>
        <v>4.001390582521374</v>
      </c>
      <c r="AF18" s="36">
        <f t="shared" si="9"/>
        <v>4.0170402339175073</v>
      </c>
      <c r="AG18" s="36">
        <f t="shared" si="9"/>
        <v>3.9967501202214564</v>
      </c>
      <c r="AH18" s="36">
        <f t="shared" ref="AH18:AW18" si="10">(AH5/94.2*AH17*2)+(AH6/56.08*AH17)+(AH7/79.9*AH17)+(AH8/152.02*AH17*2)+(AH9/70.94*AH17)+(AH10/71.85*AH17)+(AH11/74.71*AH17)+(AH12/61.982*AH17*2)+(AH13/60.09*AH17)+(AH14/101.94*AH17*2)+(AH15/40.32*AH17)</f>
        <v>4.001022193482485</v>
      </c>
      <c r="AI18" s="36">
        <f t="shared" si="10"/>
        <v>3.994904366911701</v>
      </c>
      <c r="AJ18" s="36">
        <f t="shared" si="10"/>
        <v>4.0161982268666829</v>
      </c>
      <c r="AK18" s="36">
        <f t="shared" si="10"/>
        <v>3.9945750524403758</v>
      </c>
      <c r="AL18" s="36">
        <f t="shared" si="10"/>
        <v>3.9976477844677163</v>
      </c>
      <c r="AM18" s="36">
        <f t="shared" si="10"/>
        <v>4.0044904443197158</v>
      </c>
      <c r="AN18" s="36">
        <f t="shared" si="10"/>
        <v>4.0069887288942745</v>
      </c>
      <c r="AO18" s="36">
        <f t="shared" si="10"/>
        <v>4.018664241670324</v>
      </c>
      <c r="AP18" s="36">
        <f t="shared" si="10"/>
        <v>4.0299417338931427</v>
      </c>
      <c r="AQ18" s="36">
        <f t="shared" si="10"/>
        <v>4.0009472373866108</v>
      </c>
      <c r="AR18" s="36">
        <f t="shared" si="10"/>
        <v>4.0172407380778967</v>
      </c>
      <c r="AS18" s="36">
        <f t="shared" si="10"/>
        <v>3.9977837397121365</v>
      </c>
      <c r="AT18" s="36">
        <f t="shared" si="10"/>
        <v>3.9978244634679507</v>
      </c>
      <c r="AU18" s="36">
        <f t="shared" si="10"/>
        <v>4.0003403107775695</v>
      </c>
      <c r="AV18" s="36">
        <f t="shared" si="10"/>
        <v>3.7748402885395862</v>
      </c>
      <c r="AW18" s="36">
        <f t="shared" si="10"/>
        <v>4.0067360343002596</v>
      </c>
      <c r="AX18" s="36">
        <f t="shared" ref="AX18:BE18" si="11">(AX5/94.2*AX17*2)+(AX6/56.08*AX17)+(AX7/79.9*AX17)+(AX8/152.02*AX17*2)+(AX9/70.94*AX17)+(AX10/71.85*AX17)+(AX11/74.71*AX17)+(AX12/61.982*AX17*2)+(AX13/60.09*AX17)+(AX14/101.94*AX17*2)+(AX15/40.32*AX17)</f>
        <v>4.011912584042622</v>
      </c>
      <c r="AY18" s="36">
        <f t="shared" si="11"/>
        <v>3.9930587492300185</v>
      </c>
      <c r="AZ18" s="36">
        <f t="shared" si="11"/>
        <v>4.0124649102980063</v>
      </c>
      <c r="BA18" s="36">
        <f t="shared" si="11"/>
        <v>4.0492340584229947</v>
      </c>
      <c r="BB18" s="36">
        <f t="shared" si="11"/>
        <v>4.0192698222318084</v>
      </c>
      <c r="BC18" s="36">
        <f t="shared" si="11"/>
        <v>4.019124205724812</v>
      </c>
      <c r="BD18" s="36">
        <f t="shared" si="11"/>
        <v>4.0024296076663202</v>
      </c>
      <c r="BE18" s="36">
        <f t="shared" si="11"/>
        <v>4.0196240284333609</v>
      </c>
    </row>
    <row r="19" spans="1:57">
      <c r="A19" s="1" t="s">
        <v>441</v>
      </c>
      <c r="B19" s="36"/>
      <c r="C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 spans="1:57" s="5" customFormat="1">
      <c r="A20" s="15" t="s">
        <v>18</v>
      </c>
      <c r="B20" s="49">
        <f t="shared" ref="B20:Q20" si="12">(B13/60.09*B17)*4/B18</f>
        <v>1.9756683596341915</v>
      </c>
      <c r="C20" s="49">
        <f t="shared" si="12"/>
        <v>1.9773171403190795</v>
      </c>
      <c r="D20" s="49">
        <f t="shared" si="12"/>
        <v>1.9835426300139094</v>
      </c>
      <c r="E20" s="49">
        <f t="shared" si="12"/>
        <v>1.9880225531244493</v>
      </c>
      <c r="F20" s="49">
        <f t="shared" si="12"/>
        <v>1.9704565629002404</v>
      </c>
      <c r="G20" s="49">
        <f t="shared" si="12"/>
        <v>1.9942408078592024</v>
      </c>
      <c r="H20" s="49">
        <f t="shared" si="12"/>
        <v>2.000848988908936</v>
      </c>
      <c r="I20" s="49">
        <f t="shared" si="12"/>
        <v>1.9769975711734484</v>
      </c>
      <c r="J20" s="49">
        <f t="shared" si="12"/>
        <v>2.0013025736273984</v>
      </c>
      <c r="K20" s="49">
        <f t="shared" si="12"/>
        <v>1.9725514001376492</v>
      </c>
      <c r="L20" s="49">
        <f t="shared" si="12"/>
        <v>1.9876366256135958</v>
      </c>
      <c r="M20" s="49">
        <f t="shared" si="12"/>
        <v>1.991035768639102</v>
      </c>
      <c r="N20" s="49">
        <f t="shared" si="12"/>
        <v>1.9939335205577033</v>
      </c>
      <c r="O20" s="49">
        <f t="shared" si="12"/>
        <v>1.9760682949416881</v>
      </c>
      <c r="P20" s="49">
        <f t="shared" si="12"/>
        <v>1.9892573691626503</v>
      </c>
      <c r="Q20" s="49">
        <f t="shared" si="12"/>
        <v>1.9736656115222386</v>
      </c>
      <c r="R20" s="49">
        <f t="shared" ref="R20:AG20" si="13">(R13/60.09*R17)*4/R18</f>
        <v>1.9650301021627667</v>
      </c>
      <c r="S20" s="49">
        <f t="shared" si="13"/>
        <v>1.9736574011177135</v>
      </c>
      <c r="T20" s="49">
        <f t="shared" si="13"/>
        <v>1.9756627258051671</v>
      </c>
      <c r="U20" s="49">
        <f t="shared" si="13"/>
        <v>1.9622951575250305</v>
      </c>
      <c r="V20" s="49">
        <f t="shared" si="13"/>
        <v>1.9666053800604102</v>
      </c>
      <c r="W20" s="49">
        <f t="shared" si="13"/>
        <v>1.988780775409172</v>
      </c>
      <c r="X20" s="49">
        <f t="shared" si="13"/>
        <v>1.9860642107789968</v>
      </c>
      <c r="Y20" s="49">
        <f t="shared" si="13"/>
        <v>1.9852545410530233</v>
      </c>
      <c r="Z20" s="49">
        <f t="shared" si="13"/>
        <v>1.9423471891646116</v>
      </c>
      <c r="AA20" s="49">
        <f t="shared" si="13"/>
        <v>1.9337777582096201</v>
      </c>
      <c r="AB20" s="49">
        <f t="shared" si="13"/>
        <v>1.9316435912385947</v>
      </c>
      <c r="AC20" s="49">
        <f t="shared" si="13"/>
        <v>1.9282573294646355</v>
      </c>
      <c r="AD20" s="49">
        <f t="shared" si="13"/>
        <v>1.9751952813908649</v>
      </c>
      <c r="AE20" s="49">
        <f t="shared" si="13"/>
        <v>1.9748707299489305</v>
      </c>
      <c r="AF20" s="49">
        <f t="shared" si="13"/>
        <v>1.9666657261259965</v>
      </c>
      <c r="AG20" s="49">
        <f t="shared" si="13"/>
        <v>1.9911837152412322</v>
      </c>
      <c r="AH20" s="49">
        <f t="shared" ref="AH20:AW20" si="14">(AH13/60.09*AH17)*4/AH18</f>
        <v>1.995574662826832</v>
      </c>
      <c r="AI20" s="49">
        <f t="shared" si="14"/>
        <v>1.996639052483784</v>
      </c>
      <c r="AJ20" s="49">
        <f t="shared" si="14"/>
        <v>1.9890299261235316</v>
      </c>
      <c r="AK20" s="49">
        <f t="shared" si="14"/>
        <v>1.9970048230600179</v>
      </c>
      <c r="AL20" s="49">
        <f t="shared" si="14"/>
        <v>1.9838070617510521</v>
      </c>
      <c r="AM20" s="49">
        <f t="shared" si="14"/>
        <v>1.9756683596341915</v>
      </c>
      <c r="AN20" s="49">
        <f t="shared" si="14"/>
        <v>1.9633675823378398</v>
      </c>
      <c r="AO20" s="49">
        <f t="shared" si="14"/>
        <v>1.952421111012083</v>
      </c>
      <c r="AP20" s="49">
        <f t="shared" si="14"/>
        <v>1.9483843836524708</v>
      </c>
      <c r="AQ20" s="49">
        <f t="shared" si="14"/>
        <v>1.9796238443838432</v>
      </c>
      <c r="AR20" s="49">
        <f t="shared" si="14"/>
        <v>1.9862110019947352</v>
      </c>
      <c r="AS20" s="49">
        <f t="shared" si="14"/>
        <v>1.9848556570070373</v>
      </c>
      <c r="AT20" s="49">
        <f t="shared" si="14"/>
        <v>1.9852243387806483</v>
      </c>
      <c r="AU20" s="49">
        <f t="shared" si="14"/>
        <v>1.9782231754538961</v>
      </c>
      <c r="AV20" s="49">
        <f t="shared" si="14"/>
        <v>1.7376209708314181</v>
      </c>
      <c r="AW20" s="49">
        <f t="shared" si="14"/>
        <v>1.971422091678156</v>
      </c>
      <c r="AX20" s="49">
        <f t="shared" ref="AX20:BE20" si="15">(AX13/60.09*AX17)*4/AX18</f>
        <v>1.9811118600210524</v>
      </c>
      <c r="AY20" s="49">
        <f t="shared" si="15"/>
        <v>1.9957625502650058</v>
      </c>
      <c r="AZ20" s="49">
        <f t="shared" si="15"/>
        <v>2.0045598871011197</v>
      </c>
      <c r="BA20" s="49">
        <f t="shared" si="15"/>
        <v>1.9739925676770116</v>
      </c>
      <c r="BB20" s="49">
        <f t="shared" si="15"/>
        <v>1.9912262186159178</v>
      </c>
      <c r="BC20" s="49">
        <f t="shared" si="15"/>
        <v>1.9965302528500652</v>
      </c>
      <c r="BD20" s="49">
        <f t="shared" si="15"/>
        <v>1.9896906640990788</v>
      </c>
      <c r="BE20" s="49">
        <f t="shared" si="15"/>
        <v>1.9964645686935074</v>
      </c>
    </row>
    <row r="21" spans="1:57" s="5" customFormat="1">
      <c r="A21" s="7" t="s">
        <v>122</v>
      </c>
      <c r="B21" s="49">
        <f t="shared" ref="B21:Q21" si="16">IF(2-B20&gt;0,IF(((B14/101.94*B17*2)*4/B18)&gt;2-B20,2-B20,((B14/101.94*B17*2)*4/B18)),0)</f>
        <v>2.4331640365808482E-2</v>
      </c>
      <c r="C21" s="49">
        <f t="shared" si="16"/>
        <v>2.2682859680920542E-2</v>
      </c>
      <c r="D21" s="49">
        <f t="shared" si="16"/>
        <v>1.6457369986090598E-2</v>
      </c>
      <c r="E21" s="49">
        <f t="shared" si="16"/>
        <v>1.197744687555069E-2</v>
      </c>
      <c r="F21" s="49">
        <f t="shared" si="16"/>
        <v>2.9543437099759595E-2</v>
      </c>
      <c r="G21" s="49">
        <f t="shared" si="16"/>
        <v>5.7591921407975644E-3</v>
      </c>
      <c r="H21" s="49">
        <f t="shared" si="16"/>
        <v>0</v>
      </c>
      <c r="I21" s="49">
        <f t="shared" si="16"/>
        <v>2.3002428826551569E-2</v>
      </c>
      <c r="J21" s="49">
        <f t="shared" si="16"/>
        <v>0</v>
      </c>
      <c r="K21" s="49">
        <f t="shared" si="16"/>
        <v>2.744859986235082E-2</v>
      </c>
      <c r="L21" s="49">
        <f t="shared" si="16"/>
        <v>1.2363374386404224E-2</v>
      </c>
      <c r="M21" s="49">
        <f t="shared" si="16"/>
        <v>8.9642313608979673E-3</v>
      </c>
      <c r="N21" s="49">
        <f t="shared" si="16"/>
        <v>6.0664794422966573E-3</v>
      </c>
      <c r="O21" s="49">
        <f t="shared" si="16"/>
        <v>2.3931705058311881E-2</v>
      </c>
      <c r="P21" s="49">
        <f t="shared" si="16"/>
        <v>1.074263083734972E-2</v>
      </c>
      <c r="Q21" s="49">
        <f t="shared" si="16"/>
        <v>2.6334388477761372E-2</v>
      </c>
      <c r="R21" s="49">
        <f t="shared" ref="R21:AG21" si="17">IF(2-R20&gt;0,IF(((R14/101.94*R17*2)*4/R18)&gt;2-R20,2-R20,((R14/101.94*R17*2)*4/R18)),0)</f>
        <v>3.4969897837233255E-2</v>
      </c>
      <c r="S21" s="49">
        <f t="shared" si="17"/>
        <v>2.6342598882286516E-2</v>
      </c>
      <c r="T21" s="49">
        <f t="shared" si="17"/>
        <v>2.4337274194832892E-2</v>
      </c>
      <c r="U21" s="49">
        <f t="shared" si="17"/>
        <v>3.7704842474969524E-2</v>
      </c>
      <c r="V21" s="49">
        <f t="shared" si="17"/>
        <v>3.3394619939589809E-2</v>
      </c>
      <c r="W21" s="49">
        <f t="shared" si="17"/>
        <v>1.1219224590828025E-2</v>
      </c>
      <c r="X21" s="49">
        <f t="shared" si="17"/>
        <v>1.3935789221003247E-2</v>
      </c>
      <c r="Y21" s="49">
        <f t="shared" si="17"/>
        <v>1.4745458946976653E-2</v>
      </c>
      <c r="Z21" s="49">
        <f t="shared" si="17"/>
        <v>5.7652810835388424E-2</v>
      </c>
      <c r="AA21" s="49">
        <f t="shared" si="17"/>
        <v>6.6222241790379943E-2</v>
      </c>
      <c r="AB21" s="49">
        <f t="shared" si="17"/>
        <v>6.8356408761405252E-2</v>
      </c>
      <c r="AC21" s="49">
        <f t="shared" si="17"/>
        <v>7.1742670535364539E-2</v>
      </c>
      <c r="AD21" s="49">
        <f t="shared" si="17"/>
        <v>2.4804718609135135E-2</v>
      </c>
      <c r="AE21" s="49">
        <f t="shared" si="17"/>
        <v>2.5129270051069463E-2</v>
      </c>
      <c r="AF21" s="49">
        <f t="shared" si="17"/>
        <v>3.3334273874003451E-2</v>
      </c>
      <c r="AG21" s="49">
        <f t="shared" si="17"/>
        <v>8.8162847587678339E-3</v>
      </c>
      <c r="AH21" s="49">
        <f t="shared" ref="AH21:AW21" si="18">IF(2-AH20&gt;0,IF(((AH14/101.94*AH17*2)*4/AH18)&gt;2-AH20,2-AH20,((AH14/101.94*AH17*2)*4/AH18)),0)</f>
        <v>4.4253371731679536E-3</v>
      </c>
      <c r="AI21" s="49">
        <f t="shared" si="18"/>
        <v>3.3609475162159619E-3</v>
      </c>
      <c r="AJ21" s="49">
        <f t="shared" si="18"/>
        <v>1.0970073876468422E-2</v>
      </c>
      <c r="AK21" s="49">
        <f t="shared" si="18"/>
        <v>2.9951769399820805E-3</v>
      </c>
      <c r="AL21" s="49">
        <f t="shared" si="18"/>
        <v>1.6192938248947852E-2</v>
      </c>
      <c r="AM21" s="49">
        <f t="shared" si="18"/>
        <v>2.4331640365808482E-2</v>
      </c>
      <c r="AN21" s="49">
        <f t="shared" si="18"/>
        <v>3.6632417662160188E-2</v>
      </c>
      <c r="AO21" s="49">
        <f t="shared" si="18"/>
        <v>4.7578888987916956E-2</v>
      </c>
      <c r="AP21" s="49">
        <f t="shared" si="18"/>
        <v>5.1615616347529203E-2</v>
      </c>
      <c r="AQ21" s="49">
        <f t="shared" si="18"/>
        <v>2.0376155616156799E-2</v>
      </c>
      <c r="AR21" s="49">
        <f t="shared" si="18"/>
        <v>1.3788998005264785E-2</v>
      </c>
      <c r="AS21" s="49">
        <f t="shared" si="18"/>
        <v>1.5144342992962745E-2</v>
      </c>
      <c r="AT21" s="49">
        <f t="shared" si="18"/>
        <v>1.4775661219351699E-2</v>
      </c>
      <c r="AU21" s="49">
        <f t="shared" si="18"/>
        <v>2.1776824546103857E-2</v>
      </c>
      <c r="AV21" s="49">
        <f t="shared" si="18"/>
        <v>0.26237902916858191</v>
      </c>
      <c r="AW21" s="49">
        <f t="shared" si="18"/>
        <v>2.8577908321844037E-2</v>
      </c>
      <c r="AX21" s="49">
        <f t="shared" ref="AX21:BE21" si="19">IF(2-AX20&gt;0,IF(((AX14/101.94*AX17*2)*4/AX18)&gt;2-AX20,2-AX20,((AX14/101.94*AX17*2)*4/AX18)),0)</f>
        <v>1.888813997894756E-2</v>
      </c>
      <c r="AY21" s="49">
        <f t="shared" si="19"/>
        <v>4.2374497349941809E-3</v>
      </c>
      <c r="AZ21" s="49">
        <f t="shared" si="19"/>
        <v>0</v>
      </c>
      <c r="BA21" s="49">
        <f t="shared" si="19"/>
        <v>2.6007432322988411E-2</v>
      </c>
      <c r="BB21" s="49">
        <f t="shared" si="19"/>
        <v>8.7737813840822465E-3</v>
      </c>
      <c r="BC21" s="49">
        <f t="shared" si="19"/>
        <v>3.4697471499347543E-3</v>
      </c>
      <c r="BD21" s="49">
        <f t="shared" si="19"/>
        <v>1.0309335900921202E-2</v>
      </c>
      <c r="BE21" s="49">
        <f t="shared" si="19"/>
        <v>3.5354313064925869E-3</v>
      </c>
    </row>
    <row r="22" spans="1:57" s="5" customFormat="1">
      <c r="A22" s="7" t="s">
        <v>234</v>
      </c>
      <c r="B22" s="49">
        <f t="shared" ref="B22:Q22" si="20">((B14/101.94*B17*2)*4/B18)-B21</f>
        <v>0.49599760511961377</v>
      </c>
      <c r="C22" s="49">
        <f t="shared" si="20"/>
        <v>0.46089317109740985</v>
      </c>
      <c r="D22" s="49">
        <f t="shared" si="20"/>
        <v>0.46255816907539565</v>
      </c>
      <c r="E22" s="49">
        <f t="shared" si="20"/>
        <v>0.47095933405441109</v>
      </c>
      <c r="F22" s="49">
        <f t="shared" si="20"/>
        <v>0.45777880331847876</v>
      </c>
      <c r="G22" s="49">
        <f t="shared" si="20"/>
        <v>0.40716301958835177</v>
      </c>
      <c r="H22" s="49">
        <f t="shared" si="20"/>
        <v>0.4192485716025911</v>
      </c>
      <c r="I22" s="49">
        <f t="shared" si="20"/>
        <v>0.39753757877084617</v>
      </c>
      <c r="J22" s="49">
        <f t="shared" si="20"/>
        <v>0.41047859941771131</v>
      </c>
      <c r="K22" s="49">
        <f t="shared" si="20"/>
        <v>0.37865852108162207</v>
      </c>
      <c r="L22" s="49">
        <f t="shared" si="20"/>
        <v>0.48787840589966014</v>
      </c>
      <c r="M22" s="49">
        <f t="shared" si="20"/>
        <v>0.47669639567958483</v>
      </c>
      <c r="N22" s="49">
        <f t="shared" si="20"/>
        <v>0.48877454498809919</v>
      </c>
      <c r="O22" s="49">
        <f t="shared" si="20"/>
        <v>0.48198410123432345</v>
      </c>
      <c r="P22" s="49">
        <f t="shared" si="20"/>
        <v>0.44517420956667109</v>
      </c>
      <c r="Q22" s="49">
        <f t="shared" si="20"/>
        <v>0.47887793112742305</v>
      </c>
      <c r="R22" s="49">
        <f t="shared" ref="R22:AG22" si="21">((R14/101.94*R17*2)*4/R18)-R21</f>
        <v>0.46673677118741641</v>
      </c>
      <c r="S22" s="49">
        <f t="shared" si="21"/>
        <v>0.54696988694505799</v>
      </c>
      <c r="T22" s="49">
        <f t="shared" si="21"/>
        <v>0.54624978836828531</v>
      </c>
      <c r="U22" s="49">
        <f t="shared" si="21"/>
        <v>0.51877451289893473</v>
      </c>
      <c r="V22" s="49">
        <f t="shared" si="21"/>
        <v>0.48039881161047149</v>
      </c>
      <c r="W22" s="49">
        <f t="shared" si="21"/>
        <v>0.3434102747051434</v>
      </c>
      <c r="X22" s="49">
        <f t="shared" si="21"/>
        <v>0.33506195146566436</v>
      </c>
      <c r="Y22" s="49">
        <f t="shared" si="21"/>
        <v>0.37969379177960244</v>
      </c>
      <c r="Z22" s="49">
        <f t="shared" si="21"/>
        <v>0.17259889612496718</v>
      </c>
      <c r="AA22" s="49">
        <f t="shared" si="21"/>
        <v>0.31668653294440946</v>
      </c>
      <c r="AB22" s="49">
        <f t="shared" si="21"/>
        <v>0.35014922066722937</v>
      </c>
      <c r="AC22" s="49">
        <f t="shared" si="21"/>
        <v>0.38877631397205659</v>
      </c>
      <c r="AD22" s="49">
        <f t="shared" si="21"/>
        <v>0.39939551772773091</v>
      </c>
      <c r="AE22" s="49">
        <f t="shared" si="21"/>
        <v>0.40822623202518182</v>
      </c>
      <c r="AF22" s="49">
        <f t="shared" si="21"/>
        <v>0.47505956935038773</v>
      </c>
      <c r="AG22" s="49">
        <f t="shared" si="21"/>
        <v>0.47566118053228812</v>
      </c>
      <c r="AH22" s="49">
        <f t="shared" ref="AH22:AW22" si="22">((AH14/101.94*AH17*2)*4/AH18)-AH21</f>
        <v>0.45878883601130654</v>
      </c>
      <c r="AI22" s="49">
        <f t="shared" si="22"/>
        <v>0.47644073426647165</v>
      </c>
      <c r="AJ22" s="49">
        <f t="shared" si="22"/>
        <v>0.46722705550563087</v>
      </c>
      <c r="AK22" s="49">
        <f t="shared" si="22"/>
        <v>0.45101756511816277</v>
      </c>
      <c r="AL22" s="49">
        <f t="shared" si="22"/>
        <v>0.39335685677164328</v>
      </c>
      <c r="AM22" s="49">
        <f t="shared" si="22"/>
        <v>0.49599760511961377</v>
      </c>
      <c r="AN22" s="49">
        <f t="shared" si="22"/>
        <v>0.49915172225477455</v>
      </c>
      <c r="AO22" s="49">
        <f t="shared" si="22"/>
        <v>0.46350800875006892</v>
      </c>
      <c r="AP22" s="49">
        <f t="shared" si="22"/>
        <v>0.41490560258939413</v>
      </c>
      <c r="AQ22" s="49">
        <f t="shared" si="22"/>
        <v>0.44964106888091343</v>
      </c>
      <c r="AR22" s="49">
        <f t="shared" si="22"/>
        <v>0.45528513446704488</v>
      </c>
      <c r="AS22" s="49">
        <f t="shared" si="22"/>
        <v>0.44951646924285549</v>
      </c>
      <c r="AT22" s="49">
        <f t="shared" si="22"/>
        <v>0.45548173779820289</v>
      </c>
      <c r="AU22" s="49">
        <f t="shared" si="22"/>
        <v>0.49423790925071132</v>
      </c>
      <c r="AV22" s="49">
        <f t="shared" si="22"/>
        <v>1.4480573373810537</v>
      </c>
      <c r="AW22" s="49">
        <f t="shared" si="22"/>
        <v>0.52644065206792567</v>
      </c>
      <c r="AX22" s="49">
        <f t="shared" ref="AX22:BE22" si="23">((AX14/101.94*AX17*2)*4/AX18)-AX21</f>
        <v>0.52214775205024078</v>
      </c>
      <c r="AY22" s="49">
        <f t="shared" si="23"/>
        <v>0.53099884846809009</v>
      </c>
      <c r="AZ22" s="49">
        <f t="shared" si="23"/>
        <v>0.49127691035937299</v>
      </c>
      <c r="BA22" s="49">
        <f t="shared" si="23"/>
        <v>0.4173460249007736</v>
      </c>
      <c r="BB22" s="49">
        <f t="shared" si="23"/>
        <v>0.41949740049260087</v>
      </c>
      <c r="BC22" s="49">
        <f t="shared" si="23"/>
        <v>0.47896361413762351</v>
      </c>
      <c r="BD22" s="49">
        <f t="shared" si="23"/>
        <v>0.48939235439109297</v>
      </c>
      <c r="BE22" s="49">
        <f t="shared" si="23"/>
        <v>0.49602661540060983</v>
      </c>
    </row>
    <row r="23" spans="1:57" s="5" customFormat="1">
      <c r="A23" s="15" t="s">
        <v>20</v>
      </c>
      <c r="B23" s="49">
        <f t="shared" ref="B23:Q23" si="24">(B7/79.9*B17)*4/B18</f>
        <v>3.4603735960156245E-3</v>
      </c>
      <c r="C23" s="49">
        <f t="shared" si="24"/>
        <v>3.1477957509094914E-3</v>
      </c>
      <c r="D23" s="49">
        <f t="shared" si="24"/>
        <v>2.1092303278981341E-3</v>
      </c>
      <c r="E23" s="49">
        <f t="shared" si="24"/>
        <v>0</v>
      </c>
      <c r="F23" s="49">
        <f t="shared" si="24"/>
        <v>2.3974841232244941E-3</v>
      </c>
      <c r="G23" s="49">
        <f t="shared" si="24"/>
        <v>2.7072181866380691E-3</v>
      </c>
      <c r="H23" s="49">
        <f t="shared" si="24"/>
        <v>3.2582504315039583E-3</v>
      </c>
      <c r="I23" s="49">
        <f t="shared" si="24"/>
        <v>2.4290211567924978E-3</v>
      </c>
      <c r="J23" s="49">
        <f t="shared" si="24"/>
        <v>2.1912426319846191E-3</v>
      </c>
      <c r="K23" s="49">
        <f t="shared" si="24"/>
        <v>2.9996980370154435E-3</v>
      </c>
      <c r="L23" s="49">
        <f t="shared" si="24"/>
        <v>2.4114516767982045E-3</v>
      </c>
      <c r="M23" s="49">
        <f t="shared" si="24"/>
        <v>1.8841846739546702E-3</v>
      </c>
      <c r="N23" s="49">
        <f t="shared" si="24"/>
        <v>1.882190142986665E-3</v>
      </c>
      <c r="O23" s="49">
        <f t="shared" si="24"/>
        <v>3.2086332414360888E-3</v>
      </c>
      <c r="P23" s="49">
        <f t="shared" si="24"/>
        <v>3.9987108121046595E-3</v>
      </c>
      <c r="Q23" s="49">
        <f t="shared" si="24"/>
        <v>1.8613892728114533E-3</v>
      </c>
      <c r="R23" s="49">
        <f t="shared" ref="R23:AG23" si="25">(R7/79.9*R17)*4/R18</f>
        <v>1.0668330796907131E-3</v>
      </c>
      <c r="S23" s="49">
        <f t="shared" si="25"/>
        <v>3.2104949111722227E-3</v>
      </c>
      <c r="T23" s="49">
        <f t="shared" si="25"/>
        <v>2.399935846635943E-3</v>
      </c>
      <c r="U23" s="49">
        <f t="shared" si="25"/>
        <v>4.2931597593602582E-3</v>
      </c>
      <c r="V23" s="49">
        <f t="shared" si="25"/>
        <v>2.9052084975999702E-3</v>
      </c>
      <c r="W23" s="49">
        <f t="shared" si="25"/>
        <v>5.2006000544115973E-3</v>
      </c>
      <c r="X23" s="49">
        <f t="shared" si="25"/>
        <v>3.3420729860997264E-3</v>
      </c>
      <c r="Y23" s="49">
        <f t="shared" si="25"/>
        <v>2.8243244707015281E-3</v>
      </c>
      <c r="Z23" s="49">
        <f t="shared" si="25"/>
        <v>4.5649109276009667E-3</v>
      </c>
      <c r="AA23" s="49">
        <f t="shared" si="25"/>
        <v>1.8346165235732636E-3</v>
      </c>
      <c r="AB23" s="49">
        <f t="shared" si="25"/>
        <v>2.0675633440132694E-3</v>
      </c>
      <c r="AC23" s="49">
        <f t="shared" si="25"/>
        <v>2.077986753144636E-3</v>
      </c>
      <c r="AD23" s="49">
        <f t="shared" si="25"/>
        <v>1.8213921527225189E-3</v>
      </c>
      <c r="AE23" s="49">
        <f t="shared" si="25"/>
        <v>3.2270099210822667E-3</v>
      </c>
      <c r="AF23" s="49">
        <f t="shared" si="25"/>
        <v>1.8577829418937183E-3</v>
      </c>
      <c r="AG23" s="49">
        <f t="shared" si="25"/>
        <v>2.1481079329948812E-3</v>
      </c>
      <c r="AH23" s="49">
        <f t="shared" ref="AH23:AW23" si="26">(AH7/79.9*AH17)*4/AH18</f>
        <v>1.3407200474738537E-3</v>
      </c>
      <c r="AI23" s="49">
        <f t="shared" si="26"/>
        <v>2.4206381162324197E-3</v>
      </c>
      <c r="AJ23" s="49">
        <f t="shared" si="26"/>
        <v>2.9383356223591835E-3</v>
      </c>
      <c r="AK23" s="49">
        <f t="shared" si="26"/>
        <v>2.6742834663717042E-3</v>
      </c>
      <c r="AL23" s="49">
        <f t="shared" si="26"/>
        <v>8.1305287154324879E-4</v>
      </c>
      <c r="AM23" s="49">
        <f t="shared" si="26"/>
        <v>3.4603735960156245E-3</v>
      </c>
      <c r="AN23" s="49">
        <f t="shared" si="26"/>
        <v>4.7691447352620131E-3</v>
      </c>
      <c r="AO23" s="49">
        <f t="shared" si="26"/>
        <v>3.4543106481937673E-3</v>
      </c>
      <c r="AP23" s="49">
        <f t="shared" si="26"/>
        <v>1.8484741430837444E-3</v>
      </c>
      <c r="AQ23" s="49">
        <f t="shared" si="26"/>
        <v>1.5948644537464162E-3</v>
      </c>
      <c r="AR23" s="49">
        <f t="shared" si="26"/>
        <v>2.1373778412402669E-3</v>
      </c>
      <c r="AS23" s="49">
        <f t="shared" si="26"/>
        <v>3.9948455784791044E-3</v>
      </c>
      <c r="AT23" s="49">
        <f t="shared" si="26"/>
        <v>2.1294603727529649E-3</v>
      </c>
      <c r="AU23" s="49">
        <f t="shared" si="26"/>
        <v>4.0340362618750871E-3</v>
      </c>
      <c r="AV23" s="49">
        <f t="shared" si="26"/>
        <v>3.4487317779593016E-3</v>
      </c>
      <c r="AW23" s="49">
        <f t="shared" si="26"/>
        <v>7.7027040051839942E-3</v>
      </c>
      <c r="AX23" s="49">
        <f t="shared" ref="AX23:BE23" si="27">(AX7/79.9*AX17)*4/AX18</f>
        <v>3.459372330461848E-3</v>
      </c>
      <c r="AY23" s="49">
        <f t="shared" si="27"/>
        <v>2.9388352744679205E-3</v>
      </c>
      <c r="AZ23" s="49">
        <f t="shared" si="27"/>
        <v>2.7133900190191461E-4</v>
      </c>
      <c r="BA23" s="49">
        <f t="shared" si="27"/>
        <v>2.3481788978873077E-3</v>
      </c>
      <c r="BB23" s="49">
        <f t="shared" si="27"/>
        <v>2.9463152904709309E-3</v>
      </c>
      <c r="BC23" s="49">
        <f t="shared" si="27"/>
        <v>2.699605694050331E-3</v>
      </c>
      <c r="BD23" s="49">
        <f t="shared" si="27"/>
        <v>4.3444075373917507E-3</v>
      </c>
      <c r="BE23" s="49">
        <f t="shared" si="27"/>
        <v>2.156898959626861E-3</v>
      </c>
    </row>
    <row r="24" spans="1:57" s="5" customFormat="1">
      <c r="A24" s="15" t="s">
        <v>21</v>
      </c>
      <c r="B24" s="49">
        <f t="shared" ref="B24:Q24" si="28">(B8/152.02*B17*2)*4/B18</f>
        <v>2.5182462357127458E-3</v>
      </c>
      <c r="C24" s="49">
        <f t="shared" si="28"/>
        <v>2.2059279962958235E-3</v>
      </c>
      <c r="D24" s="49">
        <f t="shared" si="28"/>
        <v>1.1085877068744961E-3</v>
      </c>
      <c r="E24" s="49">
        <f t="shared" si="28"/>
        <v>3.6168005160742769E-3</v>
      </c>
      <c r="F24" s="49">
        <f t="shared" si="28"/>
        <v>1.6801208739695398E-3</v>
      </c>
      <c r="G24" s="49">
        <f t="shared" si="28"/>
        <v>0</v>
      </c>
      <c r="H24" s="49">
        <f t="shared" si="28"/>
        <v>0</v>
      </c>
      <c r="I24" s="49">
        <f t="shared" si="28"/>
        <v>0</v>
      </c>
      <c r="J24" s="49">
        <f t="shared" si="28"/>
        <v>8.6376933772976117E-4</v>
      </c>
      <c r="K24" s="49">
        <f t="shared" si="28"/>
        <v>0</v>
      </c>
      <c r="L24" s="49">
        <f t="shared" si="28"/>
        <v>1.9715606467471179E-3</v>
      </c>
      <c r="M24" s="49">
        <f t="shared" si="28"/>
        <v>0</v>
      </c>
      <c r="N24" s="49">
        <f t="shared" si="28"/>
        <v>2.8264512643944316E-4</v>
      </c>
      <c r="O24" s="49">
        <f t="shared" si="28"/>
        <v>1.4053512475921124E-3</v>
      </c>
      <c r="P24" s="49">
        <f t="shared" si="28"/>
        <v>0</v>
      </c>
      <c r="Q24" s="49">
        <f t="shared" si="28"/>
        <v>2.236171975832279E-3</v>
      </c>
      <c r="R24" s="49">
        <f t="shared" ref="R24:AG24" si="29">(R8/152.02*R17*2)*4/R18</f>
        <v>1.4017886308921189E-3</v>
      </c>
      <c r="S24" s="49">
        <f t="shared" si="29"/>
        <v>0</v>
      </c>
      <c r="T24" s="49">
        <f t="shared" si="29"/>
        <v>3.3636780098445268E-3</v>
      </c>
      <c r="U24" s="49">
        <f t="shared" si="29"/>
        <v>0</v>
      </c>
      <c r="V24" s="49">
        <f t="shared" si="29"/>
        <v>1.6657580387143143E-3</v>
      </c>
      <c r="W24" s="49">
        <f t="shared" si="29"/>
        <v>0.10660169602389143</v>
      </c>
      <c r="X24" s="49">
        <f t="shared" si="29"/>
        <v>7.134319445780736E-2</v>
      </c>
      <c r="Y24" s="49">
        <f t="shared" si="29"/>
        <v>4.7231963391879198E-2</v>
      </c>
      <c r="Z24" s="49">
        <f t="shared" si="29"/>
        <v>0.10218049535877233</v>
      </c>
      <c r="AA24" s="49">
        <f t="shared" si="29"/>
        <v>2.9754116761362991E-2</v>
      </c>
      <c r="AB24" s="49">
        <f t="shared" si="29"/>
        <v>4.4010864380079867E-2</v>
      </c>
      <c r="AC24" s="49">
        <f t="shared" si="29"/>
        <v>6.2799570060746903E-3</v>
      </c>
      <c r="AD24" s="49">
        <f t="shared" si="29"/>
        <v>2.4889883292104727E-2</v>
      </c>
      <c r="AE24" s="49">
        <f t="shared" si="29"/>
        <v>2.317976099739814E-2</v>
      </c>
      <c r="AF24" s="49">
        <f t="shared" si="29"/>
        <v>2.2318395257362091E-3</v>
      </c>
      <c r="AG24" s="49">
        <f t="shared" si="29"/>
        <v>4.5160853531454014E-3</v>
      </c>
      <c r="AH24" s="49">
        <f t="shared" ref="AH24:AW24" si="30">(AH8/152.02*AH17*2)*4/AH18</f>
        <v>1.6912016596736363E-3</v>
      </c>
      <c r="AI24" s="49">
        <f t="shared" si="30"/>
        <v>1.9790713186989906E-3</v>
      </c>
      <c r="AJ24" s="49">
        <f t="shared" si="30"/>
        <v>0</v>
      </c>
      <c r="AK24" s="49">
        <f t="shared" si="30"/>
        <v>2.8111465460215648E-3</v>
      </c>
      <c r="AL24" s="49">
        <f t="shared" si="30"/>
        <v>0.12107723933442911</v>
      </c>
      <c r="AM24" s="49">
        <f t="shared" si="30"/>
        <v>2.5182462357127458E-3</v>
      </c>
      <c r="AN24" s="49">
        <f t="shared" si="30"/>
        <v>3.6206571039751009E-3</v>
      </c>
      <c r="AO24" s="49">
        <f t="shared" si="30"/>
        <v>2.7931488851738336E-3</v>
      </c>
      <c r="AP24" s="49">
        <f t="shared" si="30"/>
        <v>2.2206564404291342E-3</v>
      </c>
      <c r="AQ24" s="49">
        <f t="shared" si="30"/>
        <v>1.676485592084445E-3</v>
      </c>
      <c r="AR24" s="49">
        <f t="shared" si="30"/>
        <v>2.8084543072473575E-3</v>
      </c>
      <c r="AS24" s="49">
        <f t="shared" si="30"/>
        <v>2.7995277965222161E-4</v>
      </c>
      <c r="AT24" s="49">
        <f t="shared" si="30"/>
        <v>6.7153223437558954E-3</v>
      </c>
      <c r="AU24" s="49">
        <f t="shared" si="30"/>
        <v>3.1096912428733182E-3</v>
      </c>
      <c r="AV24" s="49">
        <f t="shared" si="30"/>
        <v>1.3943189107655277E-3</v>
      </c>
      <c r="AW24" s="49">
        <f t="shared" si="30"/>
        <v>2.5128338150278823E-3</v>
      </c>
      <c r="AX24" s="49">
        <f t="shared" ref="AX24:BE24" si="31">(AX8/152.02*AX17*2)*4/AX18</f>
        <v>2.7972417516308745E-4</v>
      </c>
      <c r="AY24" s="49">
        <f t="shared" si="31"/>
        <v>0</v>
      </c>
      <c r="AZ24" s="49">
        <f t="shared" si="31"/>
        <v>1.1409017893415589E-3</v>
      </c>
      <c r="BA24" s="49">
        <f t="shared" si="31"/>
        <v>4.9367055371976288E-3</v>
      </c>
      <c r="BB24" s="49">
        <f t="shared" si="31"/>
        <v>2.5339911320013467E-3</v>
      </c>
      <c r="BC24" s="49">
        <f t="shared" si="31"/>
        <v>0</v>
      </c>
      <c r="BD24" s="49">
        <f t="shared" si="31"/>
        <v>5.7084291908564798E-4</v>
      </c>
      <c r="BE24" s="49">
        <f t="shared" si="31"/>
        <v>0</v>
      </c>
    </row>
    <row r="25" spans="1:57" s="5" customFormat="1">
      <c r="A25" s="15" t="s">
        <v>51</v>
      </c>
      <c r="B25" s="49">
        <f t="shared" ref="B25:Q25" si="32">IF(((B10/71.85*B17)*4/B18)&gt;(IF((12*(1-(4/B18)))&gt;0,(12*(1-(4/B18))),0)),(IF((12*(1-(4/B18)))&gt;0,(12*(1-(4/B18))),0)),((B10/71.85*B17)*4/B18))</f>
        <v>1.3456226849791975E-2</v>
      </c>
      <c r="C25" s="49">
        <f t="shared" si="32"/>
        <v>6.1844755641745852E-2</v>
      </c>
      <c r="D25" s="49">
        <f t="shared" si="32"/>
        <v>4.8613345085693815E-2</v>
      </c>
      <c r="E25" s="49">
        <f t="shared" si="32"/>
        <v>4.4613648246096371E-2</v>
      </c>
      <c r="F25" s="49">
        <f t="shared" si="32"/>
        <v>6.5472301406601208E-2</v>
      </c>
      <c r="G25" s="49">
        <f t="shared" si="32"/>
        <v>4.382924356477691E-2</v>
      </c>
      <c r="H25" s="49">
        <f t="shared" si="32"/>
        <v>2.6835832176481667E-2</v>
      </c>
      <c r="I25" s="49">
        <f t="shared" si="32"/>
        <v>8.3788219485602777E-2</v>
      </c>
      <c r="J25" s="49">
        <f t="shared" si="32"/>
        <v>1.8996382317684191E-2</v>
      </c>
      <c r="K25" s="49">
        <f t="shared" si="32"/>
        <v>9.8377394995843304E-2</v>
      </c>
      <c r="L25" s="49">
        <f t="shared" si="32"/>
        <v>3.6475229518069696E-2</v>
      </c>
      <c r="M25" s="49">
        <f t="shared" si="32"/>
        <v>4.8040765515519279E-2</v>
      </c>
      <c r="N25" s="49">
        <f t="shared" si="32"/>
        <v>2.7839770960210064E-2</v>
      </c>
      <c r="O25" s="49">
        <f t="shared" si="32"/>
        <v>5.5285876268632794E-2</v>
      </c>
      <c r="P25" s="49">
        <f t="shared" si="32"/>
        <v>2.2866224844341865E-2</v>
      </c>
      <c r="Q25" s="49">
        <f t="shared" si="32"/>
        <v>5.4987723667544675E-2</v>
      </c>
      <c r="R25" s="49">
        <f t="shared" ref="R25:AG25" si="33">IF(((R10/71.85*R17)*4/R18)&gt;(IF((12*(1-(4/R18)))&gt;0,(12*(1-(4/R18))),0)),(IF((12*(1-(4/R18)))&gt;0,(12*(1-(4/R18))),0)),((R10/71.85*R17)*4/R18))</f>
        <v>8.0628952176167612E-2</v>
      </c>
      <c r="S25" s="49">
        <f t="shared" si="33"/>
        <v>3.7852296726982093E-2</v>
      </c>
      <c r="T25" s="49">
        <f t="shared" si="33"/>
        <v>2.4730827858998161E-2</v>
      </c>
      <c r="U25" s="49">
        <f t="shared" si="33"/>
        <v>7.6657540011072722E-2</v>
      </c>
      <c r="V25" s="49">
        <f t="shared" si="33"/>
        <v>0.10294212835834582</v>
      </c>
      <c r="W25" s="49">
        <f t="shared" si="33"/>
        <v>0</v>
      </c>
      <c r="X25" s="49">
        <f t="shared" si="33"/>
        <v>0</v>
      </c>
      <c r="Y25" s="49">
        <f t="shared" si="33"/>
        <v>0</v>
      </c>
      <c r="Z25" s="49">
        <f t="shared" si="33"/>
        <v>8.1799235575551243E-2</v>
      </c>
      <c r="AA25" s="49">
        <f t="shared" si="33"/>
        <v>8.6269837218644244E-2</v>
      </c>
      <c r="AB25" s="49">
        <f t="shared" si="33"/>
        <v>9.0818834959959377E-2</v>
      </c>
      <c r="AC25" s="49">
        <f t="shared" si="33"/>
        <v>8.1744629551288417E-2</v>
      </c>
      <c r="AD25" s="49">
        <f t="shared" si="33"/>
        <v>2.866572823034863E-2</v>
      </c>
      <c r="AE25" s="49">
        <f t="shared" si="33"/>
        <v>4.1702977783226736E-3</v>
      </c>
      <c r="AF25" s="49">
        <f t="shared" si="33"/>
        <v>5.0903848381591121E-2</v>
      </c>
      <c r="AG25" s="49">
        <f t="shared" si="33"/>
        <v>0</v>
      </c>
      <c r="AH25" s="49">
        <f t="shared" ref="AH25:AW25" si="34">IF(((AH10/71.85*AH17)*4/AH18)&gt;(IF((12*(1-(4/AH18)))&gt;0,(12*(1-(4/AH18))),0)),(IF((12*(1-(4/AH18)))&gt;0,(12*(1-(4/AH18))),0)),((AH10/71.85*AH17)*4/AH18))</f>
        <v>3.0657969880296676E-3</v>
      </c>
      <c r="AI25" s="49">
        <f t="shared" si="34"/>
        <v>0</v>
      </c>
      <c r="AJ25" s="49">
        <f t="shared" si="34"/>
        <v>4.8398687370529547E-2</v>
      </c>
      <c r="AK25" s="49">
        <f t="shared" si="34"/>
        <v>0</v>
      </c>
      <c r="AL25" s="49">
        <f t="shared" si="34"/>
        <v>0</v>
      </c>
      <c r="AM25" s="49">
        <f t="shared" si="34"/>
        <v>1.3456226849791975E-2</v>
      </c>
      <c r="AN25" s="49">
        <f t="shared" si="34"/>
        <v>2.0929618824867102E-2</v>
      </c>
      <c r="AO25" s="49">
        <f t="shared" si="34"/>
        <v>5.573267299156015E-2</v>
      </c>
      <c r="AP25" s="49">
        <f t="shared" si="34"/>
        <v>8.1048396844497397E-2</v>
      </c>
      <c r="AQ25" s="49">
        <f t="shared" si="34"/>
        <v>2.8410393751538976E-3</v>
      </c>
      <c r="AR25" s="49">
        <f t="shared" si="34"/>
        <v>5.1500238702087753E-2</v>
      </c>
      <c r="AS25" s="49">
        <f t="shared" si="34"/>
        <v>0</v>
      </c>
      <c r="AT25" s="49">
        <f t="shared" si="34"/>
        <v>0</v>
      </c>
      <c r="AU25" s="49">
        <f t="shared" si="34"/>
        <v>1.0208454815288093E-3</v>
      </c>
      <c r="AV25" s="49">
        <f t="shared" si="34"/>
        <v>0</v>
      </c>
      <c r="AW25" s="49">
        <f t="shared" si="34"/>
        <v>2.0174129493716553E-2</v>
      </c>
      <c r="AX25" s="49">
        <f t="shared" ref="AX25:BE25" si="35">IF(((AX10/71.85*AX17)*4/AX18)&gt;(IF((12*(1-(4/AX18)))&gt;0,(12*(1-(4/AX18))),0)),(IF((12*(1-(4/AX18)))&gt;0,(12*(1-(4/AX18))),0)),((AX10/71.85*AX17)*4/AX18))</f>
        <v>3.5631635913516924E-2</v>
      </c>
      <c r="AY25" s="49">
        <f t="shared" si="35"/>
        <v>0</v>
      </c>
      <c r="AZ25" s="49">
        <f t="shared" si="35"/>
        <v>3.7278562409900129E-2</v>
      </c>
      <c r="BA25" s="49">
        <f t="shared" si="35"/>
        <v>0.14590628562134267</v>
      </c>
      <c r="BB25" s="49">
        <f t="shared" si="35"/>
        <v>5.7532307361564339E-2</v>
      </c>
      <c r="BC25" s="49">
        <f t="shared" si="35"/>
        <v>5.7099620949972341E-2</v>
      </c>
      <c r="BD25" s="49">
        <f t="shared" si="35"/>
        <v>7.284398441385509E-3</v>
      </c>
      <c r="BE25" s="49">
        <f t="shared" si="35"/>
        <v>5.8584668499981341E-2</v>
      </c>
    </row>
    <row r="26" spans="1:57" s="5" customFormat="1">
      <c r="A26" s="15" t="s">
        <v>52</v>
      </c>
      <c r="B26" s="49">
        <f t="shared" ref="B26:Q26" si="36">IF(((B10/71.85*B17)*4/B18)&gt;B25,((B10/71.85*B17)*4/B18)-B25,0)</f>
        <v>8.6889606091740956E-2</v>
      </c>
      <c r="C26" s="49">
        <f t="shared" si="36"/>
        <v>2.6250444903714421E-2</v>
      </c>
      <c r="D26" s="49">
        <f t="shared" si="36"/>
        <v>4.0517415130928533E-2</v>
      </c>
      <c r="E26" s="49">
        <f t="shared" si="36"/>
        <v>4.5449389290869086E-2</v>
      </c>
      <c r="F26" s="49">
        <f t="shared" si="36"/>
        <v>5.8945501434452832E-2</v>
      </c>
      <c r="G26" s="49">
        <f t="shared" si="36"/>
        <v>0.12897530035520519</v>
      </c>
      <c r="H26" s="49">
        <f t="shared" si="36"/>
        <v>0.15372535695289144</v>
      </c>
      <c r="I26" s="49">
        <f t="shared" si="36"/>
        <v>0.10079146985646506</v>
      </c>
      <c r="J26" s="49">
        <f t="shared" si="36"/>
        <v>0.14913917445885588</v>
      </c>
      <c r="K26" s="49">
        <f t="shared" si="36"/>
        <v>8.054177393304271E-2</v>
      </c>
      <c r="L26" s="49">
        <f t="shared" si="36"/>
        <v>9.9393934594103062E-2</v>
      </c>
      <c r="M26" s="49">
        <f t="shared" si="36"/>
        <v>8.0071055007718911E-2</v>
      </c>
      <c r="N26" s="49">
        <f t="shared" si="36"/>
        <v>9.6249307191143635E-2</v>
      </c>
      <c r="O26" s="49">
        <f t="shared" si="36"/>
        <v>8.5060381800992513E-2</v>
      </c>
      <c r="P26" s="49">
        <f t="shared" si="36"/>
        <v>0.10579227234612759</v>
      </c>
      <c r="Q26" s="49">
        <f t="shared" si="36"/>
        <v>8.1628145382475092E-2</v>
      </c>
      <c r="R26" s="49">
        <f t="shared" ref="R26:AG26" si="37">IF(((R10/71.85*R17)*4/R18)&gt;R25,((R10/71.85*R17)*4/R18)-R25,0)</f>
        <v>3.7117273772730539E-2</v>
      </c>
      <c r="S26" s="49">
        <f t="shared" si="37"/>
        <v>0.10198035857254295</v>
      </c>
      <c r="T26" s="49">
        <f t="shared" si="37"/>
        <v>0.12324053562814286</v>
      </c>
      <c r="U26" s="49">
        <f t="shared" si="37"/>
        <v>7.93978462765218E-2</v>
      </c>
      <c r="V26" s="49">
        <f t="shared" si="37"/>
        <v>5.2719115708037334E-2</v>
      </c>
      <c r="W26" s="49">
        <f t="shared" si="37"/>
        <v>7.8941634521130011E-2</v>
      </c>
      <c r="X26" s="49">
        <f t="shared" si="37"/>
        <v>8.2335110430638653E-2</v>
      </c>
      <c r="Y26" s="49">
        <f t="shared" si="37"/>
        <v>8.023211309387443E-2</v>
      </c>
      <c r="Z26" s="49">
        <f t="shared" si="37"/>
        <v>3.5852845923842913E-2</v>
      </c>
      <c r="AA26" s="49">
        <f t="shared" si="37"/>
        <v>0</v>
      </c>
      <c r="AB26" s="49">
        <f t="shared" si="37"/>
        <v>0</v>
      </c>
      <c r="AC26" s="49">
        <f t="shared" si="37"/>
        <v>0</v>
      </c>
      <c r="AD26" s="49">
        <f t="shared" si="37"/>
        <v>5.0616526154168756E-2</v>
      </c>
      <c r="AE26" s="49">
        <f t="shared" si="37"/>
        <v>4.8162880395572941E-2</v>
      </c>
      <c r="AF26" s="49">
        <f t="shared" si="37"/>
        <v>5.6229224710769632E-2</v>
      </c>
      <c r="AG26" s="49">
        <f t="shared" si="37"/>
        <v>0.10510630827051921</v>
      </c>
      <c r="AH26" s="49">
        <f t="shared" ref="AH26:AW26" si="38">IF(((AH10/71.85*AH17)*4/AH18)&gt;AH25,((AH10/71.85*AH17)*4/AH18)-AH25,0)</f>
        <v>7.9830074517881905E-2</v>
      </c>
      <c r="AI26" s="49">
        <f t="shared" si="38"/>
        <v>0.10498191279042231</v>
      </c>
      <c r="AJ26" s="49">
        <f t="shared" si="38"/>
        <v>4.7251228774131196E-2</v>
      </c>
      <c r="AK26" s="49">
        <f t="shared" si="38"/>
        <v>7.167116910244524E-2</v>
      </c>
      <c r="AL26" s="49">
        <f t="shared" si="38"/>
        <v>9.3729851541132156E-2</v>
      </c>
      <c r="AM26" s="49">
        <f t="shared" si="38"/>
        <v>8.6889606091740956E-2</v>
      </c>
      <c r="AN26" s="49">
        <f t="shared" si="38"/>
        <v>8.1604227299703638E-2</v>
      </c>
      <c r="AO26" s="49">
        <f t="shared" si="38"/>
        <v>4.7096724187560182E-2</v>
      </c>
      <c r="AP26" s="49">
        <f t="shared" si="38"/>
        <v>0</v>
      </c>
      <c r="AQ26" s="49">
        <f t="shared" si="38"/>
        <v>7.0761344743914392E-2</v>
      </c>
      <c r="AR26" s="49">
        <f t="shared" si="38"/>
        <v>5.9914485668408957E-2</v>
      </c>
      <c r="AS26" s="49">
        <f t="shared" si="38"/>
        <v>7.5521207366014878E-2</v>
      </c>
      <c r="AT26" s="49">
        <f t="shared" si="38"/>
        <v>8.376951828562669E-2</v>
      </c>
      <c r="AU26" s="49">
        <f t="shared" si="38"/>
        <v>9.6774075070444263E-2</v>
      </c>
      <c r="AV26" s="49">
        <f t="shared" si="38"/>
        <v>2.0945677964975453E-2</v>
      </c>
      <c r="AW26" s="49">
        <f t="shared" si="38"/>
        <v>0.10683462989778708</v>
      </c>
      <c r="AX26" s="49">
        <f t="shared" ref="AX26:BE26" si="39">IF(((AX10/71.85*AX17)*4/AX18)&gt;AX25,((AX10/71.85*AX17)*4/AX18)-AX25,0)</f>
        <v>9.4277137493166713E-2</v>
      </c>
      <c r="AY26" s="49">
        <f t="shared" si="39"/>
        <v>0.12656457489868339</v>
      </c>
      <c r="AZ26" s="49">
        <f t="shared" si="39"/>
        <v>0.10876337699093608</v>
      </c>
      <c r="BA26" s="49">
        <f t="shared" si="39"/>
        <v>5.7192215513486272E-2</v>
      </c>
      <c r="BB26" s="49">
        <f t="shared" si="39"/>
        <v>0.15126483920356223</v>
      </c>
      <c r="BC26" s="49">
        <f t="shared" si="39"/>
        <v>9.3303922504815867E-2</v>
      </c>
      <c r="BD26" s="49">
        <f t="shared" si="39"/>
        <v>0.13161117795848956</v>
      </c>
      <c r="BE26" s="49">
        <f t="shared" si="39"/>
        <v>9.4623076685664359E-2</v>
      </c>
    </row>
    <row r="27" spans="1:57" s="5" customFormat="1">
      <c r="A27" s="15" t="s">
        <v>24</v>
      </c>
      <c r="B27" s="49">
        <f t="shared" ref="B27:Q27" si="40">(B15/40.32*B17)*4/B18</f>
        <v>0.43569837523977717</v>
      </c>
      <c r="C27" s="49">
        <f t="shared" si="40"/>
        <v>0.43664736197511872</v>
      </c>
      <c r="D27" s="49">
        <f t="shared" si="40"/>
        <v>0.45298036109122586</v>
      </c>
      <c r="E27" s="49">
        <f t="shared" si="40"/>
        <v>0.43846778472529313</v>
      </c>
      <c r="F27" s="49">
        <f t="shared" si="40"/>
        <v>0.42441970095428849</v>
      </c>
      <c r="G27" s="49">
        <f t="shared" si="40"/>
        <v>0.45546730261014901</v>
      </c>
      <c r="H27" s="49">
        <f t="shared" si="40"/>
        <v>0.4293706579918542</v>
      </c>
      <c r="I27" s="49">
        <f t="shared" si="40"/>
        <v>0.45139577579639595</v>
      </c>
      <c r="J27" s="49">
        <f t="shared" si="40"/>
        <v>0.47059340345442746</v>
      </c>
      <c r="K27" s="49">
        <f t="shared" si="40"/>
        <v>0.45825473583511184</v>
      </c>
      <c r="L27" s="49">
        <f t="shared" si="40"/>
        <v>0.40087526641593169</v>
      </c>
      <c r="M27" s="49">
        <f t="shared" si="40"/>
        <v>0.41711752395514778</v>
      </c>
      <c r="N27" s="49">
        <f t="shared" si="40"/>
        <v>0.41028197338069938</v>
      </c>
      <c r="O27" s="49">
        <f t="shared" si="40"/>
        <v>0.390510374597342</v>
      </c>
      <c r="P27" s="49">
        <f t="shared" si="40"/>
        <v>0.45378293278616472</v>
      </c>
      <c r="Q27" s="49">
        <f t="shared" si="40"/>
        <v>0.41049028223234751</v>
      </c>
      <c r="R27" s="49">
        <f t="shared" ref="R27:AG27" si="41">(R15/40.32*R17)*4/R18</f>
        <v>0.42334579871588335</v>
      </c>
      <c r="S27" s="49">
        <f t="shared" si="41"/>
        <v>0.33188783103932196</v>
      </c>
      <c r="T27" s="49">
        <f t="shared" si="41"/>
        <v>0.33607831778271258</v>
      </c>
      <c r="U27" s="49">
        <f t="shared" si="41"/>
        <v>0.34189621752381694</v>
      </c>
      <c r="V27" s="49">
        <f t="shared" si="41"/>
        <v>0.36479061326184076</v>
      </c>
      <c r="W27" s="49">
        <f t="shared" si="41"/>
        <v>0.51374176651096737</v>
      </c>
      <c r="X27" s="49">
        <f t="shared" si="41"/>
        <v>0.54510806967457248</v>
      </c>
      <c r="Y27" s="49">
        <f t="shared" si="41"/>
        <v>0.50574843086624677</v>
      </c>
      <c r="Z27" s="49">
        <f t="shared" si="41"/>
        <v>0.5959744822145705</v>
      </c>
      <c r="AA27" s="49">
        <f t="shared" si="41"/>
        <v>0.57389943154060963</v>
      </c>
      <c r="AB27" s="49">
        <f t="shared" si="41"/>
        <v>0.51829331262679867</v>
      </c>
      <c r="AC27" s="49">
        <f t="shared" si="41"/>
        <v>0.53789230824401024</v>
      </c>
      <c r="AD27" s="49">
        <f t="shared" si="41"/>
        <v>0.5243878612654912</v>
      </c>
      <c r="AE27" s="49">
        <f t="shared" si="41"/>
        <v>0.54142588909057687</v>
      </c>
      <c r="AF27" s="49">
        <f t="shared" si="41"/>
        <v>0.43756896638208737</v>
      </c>
      <c r="AG27" s="49">
        <f t="shared" si="41"/>
        <v>0.44536678620828857</v>
      </c>
      <c r="AH27" s="49">
        <f t="shared" ref="AH27:AW27" si="42">(AH15/40.32*AH17)*4/AH18</f>
        <v>0.48460645335001362</v>
      </c>
      <c r="AI27" s="49">
        <f t="shared" si="42"/>
        <v>0.4418431684543056</v>
      </c>
      <c r="AJ27" s="49">
        <f t="shared" si="42"/>
        <v>0.44305784312224805</v>
      </c>
      <c r="AK27" s="49">
        <f t="shared" si="42"/>
        <v>0.49815162208659031</v>
      </c>
      <c r="AL27" s="49">
        <f t="shared" si="42"/>
        <v>0.42105599171679547</v>
      </c>
      <c r="AM27" s="49">
        <f t="shared" si="42"/>
        <v>0.43569837523977717</v>
      </c>
      <c r="AN27" s="49">
        <f t="shared" si="42"/>
        <v>0.42738439260749006</v>
      </c>
      <c r="AO27" s="49">
        <f t="shared" si="42"/>
        <v>0.45599721154748674</v>
      </c>
      <c r="AP27" s="49">
        <f t="shared" si="42"/>
        <v>0.50811360755191282</v>
      </c>
      <c r="AQ27" s="49">
        <f t="shared" si="42"/>
        <v>0.51199420923618211</v>
      </c>
      <c r="AR27" s="49">
        <f t="shared" si="42"/>
        <v>0.45055429246449602</v>
      </c>
      <c r="AS27" s="49">
        <f t="shared" si="42"/>
        <v>0.50717563395069742</v>
      </c>
      <c r="AT27" s="49">
        <f t="shared" si="42"/>
        <v>0.4974134499235276</v>
      </c>
      <c r="AU27" s="49">
        <f t="shared" si="42"/>
        <v>0.43327670523192008</v>
      </c>
      <c r="AV27" s="49">
        <f t="shared" si="42"/>
        <v>1.6822568318617108E-2</v>
      </c>
      <c r="AW27" s="49">
        <f t="shared" si="42"/>
        <v>0.36581058836195773</v>
      </c>
      <c r="AX27" s="49">
        <f t="shared" ref="AX27:BE27" si="43">(AX15/40.32*AX17)*4/AX18</f>
        <v>0.37176570835002798</v>
      </c>
      <c r="AY27" s="49">
        <f t="shared" si="43"/>
        <v>0.38807242935872194</v>
      </c>
      <c r="AZ27" s="49">
        <f t="shared" si="43"/>
        <v>0.38714261164219604</v>
      </c>
      <c r="BA27" s="49">
        <f t="shared" si="43"/>
        <v>0.3991464101703131</v>
      </c>
      <c r="BB27" s="49">
        <f t="shared" si="43"/>
        <v>0.4182529452254653</v>
      </c>
      <c r="BC27" s="49">
        <f t="shared" si="43"/>
        <v>0.39694514696510191</v>
      </c>
      <c r="BD27" s="49">
        <f t="shared" si="43"/>
        <v>0.39978421773086781</v>
      </c>
      <c r="BE27" s="49">
        <f t="shared" si="43"/>
        <v>0.37506210089806141</v>
      </c>
    </row>
    <row r="28" spans="1:57" s="5" customFormat="1">
      <c r="A28" s="15" t="s">
        <v>25</v>
      </c>
      <c r="B28" s="49">
        <f t="shared" ref="B28:Q28" si="44">(B11/74.71*B17)*4/B18</f>
        <v>5.6934783794085537E-4</v>
      </c>
      <c r="C28" s="49">
        <f t="shared" si="44"/>
        <v>0</v>
      </c>
      <c r="D28" s="49">
        <f t="shared" si="44"/>
        <v>0</v>
      </c>
      <c r="E28" s="49">
        <f t="shared" si="44"/>
        <v>0</v>
      </c>
      <c r="F28" s="49">
        <f t="shared" si="44"/>
        <v>0</v>
      </c>
      <c r="G28" s="49">
        <f t="shared" si="44"/>
        <v>0</v>
      </c>
      <c r="H28" s="49">
        <f t="shared" si="44"/>
        <v>0</v>
      </c>
      <c r="I28" s="49">
        <f t="shared" si="44"/>
        <v>8.6592062833052504E-4</v>
      </c>
      <c r="J28" s="49">
        <f t="shared" si="44"/>
        <v>0</v>
      </c>
      <c r="K28" s="49">
        <f t="shared" si="44"/>
        <v>1.1665755985326729E-3</v>
      </c>
      <c r="L28" s="49">
        <f t="shared" si="44"/>
        <v>0</v>
      </c>
      <c r="M28" s="49">
        <f t="shared" si="44"/>
        <v>0</v>
      </c>
      <c r="N28" s="49">
        <f t="shared" si="44"/>
        <v>0</v>
      </c>
      <c r="O28" s="49">
        <f t="shared" si="44"/>
        <v>0</v>
      </c>
      <c r="P28" s="49">
        <f t="shared" si="44"/>
        <v>0</v>
      </c>
      <c r="Q28" s="49">
        <f t="shared" si="44"/>
        <v>0</v>
      </c>
      <c r="R28" s="49">
        <f t="shared" ref="R28:AG28" si="45">(R11/74.71*R17)*4/R18</f>
        <v>0</v>
      </c>
      <c r="S28" s="49">
        <f t="shared" si="45"/>
        <v>0</v>
      </c>
      <c r="T28" s="49">
        <f t="shared" si="45"/>
        <v>1.7111040391398907E-3</v>
      </c>
      <c r="U28" s="49">
        <f t="shared" si="45"/>
        <v>5.7392495109905744E-4</v>
      </c>
      <c r="V28" s="49">
        <f t="shared" si="45"/>
        <v>2.8245720903644111E-4</v>
      </c>
      <c r="W28" s="49">
        <f t="shared" si="45"/>
        <v>0</v>
      </c>
      <c r="X28" s="49">
        <f t="shared" si="45"/>
        <v>2.7494170442569546E-4</v>
      </c>
      <c r="Y28" s="49">
        <f t="shared" si="45"/>
        <v>8.2377991947914524E-4</v>
      </c>
      <c r="Z28" s="49">
        <f t="shared" si="45"/>
        <v>0</v>
      </c>
      <c r="AA28" s="49">
        <f t="shared" si="45"/>
        <v>8.40884908695549E-4</v>
      </c>
      <c r="AB28" s="49">
        <f t="shared" si="45"/>
        <v>1.1055970498371054E-3</v>
      </c>
      <c r="AC28" s="49">
        <f t="shared" si="45"/>
        <v>8.3337810321370848E-4</v>
      </c>
      <c r="AD28" s="49">
        <f t="shared" si="45"/>
        <v>5.5654906783383093E-4</v>
      </c>
      <c r="AE28" s="49">
        <f t="shared" si="45"/>
        <v>0</v>
      </c>
      <c r="AF28" s="49">
        <f t="shared" si="45"/>
        <v>0</v>
      </c>
      <c r="AG28" s="49">
        <f t="shared" si="45"/>
        <v>0</v>
      </c>
      <c r="AH28" s="49">
        <f t="shared" ref="AH28:AW28" si="46">(AH11/74.71*AH17)*4/AH18</f>
        <v>0</v>
      </c>
      <c r="AI28" s="49">
        <f t="shared" si="46"/>
        <v>0</v>
      </c>
      <c r="AJ28" s="49">
        <f t="shared" si="46"/>
        <v>0</v>
      </c>
      <c r="AK28" s="49">
        <f t="shared" si="46"/>
        <v>0</v>
      </c>
      <c r="AL28" s="49">
        <f t="shared" si="46"/>
        <v>0</v>
      </c>
      <c r="AM28" s="49">
        <f t="shared" si="46"/>
        <v>5.6934783794085537E-4</v>
      </c>
      <c r="AN28" s="49">
        <f t="shared" si="46"/>
        <v>1.4167918334130301E-3</v>
      </c>
      <c r="AO28" s="49">
        <f t="shared" si="46"/>
        <v>1.7050508373341968E-3</v>
      </c>
      <c r="AP28" s="49">
        <f t="shared" si="46"/>
        <v>5.6482430744551773E-4</v>
      </c>
      <c r="AQ28" s="49">
        <f t="shared" si="46"/>
        <v>0</v>
      </c>
      <c r="AR28" s="49">
        <f t="shared" si="46"/>
        <v>0</v>
      </c>
      <c r="AS28" s="49">
        <f t="shared" si="46"/>
        <v>3.9875378254465967E-3</v>
      </c>
      <c r="AT28" s="49">
        <f t="shared" si="46"/>
        <v>8.5402163590698305E-4</v>
      </c>
      <c r="AU28" s="49">
        <f t="shared" si="46"/>
        <v>2.0133284087509363E-3</v>
      </c>
      <c r="AV28" s="49">
        <f t="shared" si="46"/>
        <v>0</v>
      </c>
      <c r="AW28" s="49">
        <f t="shared" si="46"/>
        <v>1.2498731278472095E-2</v>
      </c>
      <c r="AX28" s="49">
        <f t="shared" ref="AX28:BE28" si="47">(AX11/74.71*AX17)*4/AX18</f>
        <v>0</v>
      </c>
      <c r="AY28" s="49">
        <f t="shared" si="47"/>
        <v>0</v>
      </c>
      <c r="AZ28" s="49">
        <f t="shared" si="47"/>
        <v>5.8037709147270721E-4</v>
      </c>
      <c r="BA28" s="49">
        <f t="shared" si="47"/>
        <v>2.7903373628578043E-4</v>
      </c>
      <c r="BB28" s="49">
        <f t="shared" si="47"/>
        <v>5.729075862027169E-4</v>
      </c>
      <c r="BC28" s="49">
        <f t="shared" si="47"/>
        <v>2.5984291990250206E-3</v>
      </c>
      <c r="BD28" s="49">
        <f t="shared" si="47"/>
        <v>1.7423278120613081E-3</v>
      </c>
      <c r="BE28" s="49">
        <f t="shared" si="47"/>
        <v>0</v>
      </c>
    </row>
    <row r="29" spans="1:57" s="5" customFormat="1">
      <c r="A29" s="15" t="s">
        <v>23</v>
      </c>
      <c r="B29" s="49">
        <f t="shared" ref="B29:Q29" si="48">(B9/70.94*B17)*4/B18</f>
        <v>0</v>
      </c>
      <c r="C29" s="49">
        <f t="shared" si="48"/>
        <v>1.6840529776768035E-2</v>
      </c>
      <c r="D29" s="49">
        <f t="shared" si="48"/>
        <v>1.4847714899832688E-3</v>
      </c>
      <c r="E29" s="49">
        <f t="shared" si="48"/>
        <v>5.9619831976492768E-4</v>
      </c>
      <c r="F29" s="49">
        <f t="shared" si="48"/>
        <v>1.8001971755064099E-3</v>
      </c>
      <c r="G29" s="49">
        <f t="shared" si="48"/>
        <v>9.1474513580088129E-4</v>
      </c>
      <c r="H29" s="49">
        <f t="shared" si="48"/>
        <v>6.1163003824162747E-4</v>
      </c>
      <c r="I29" s="49">
        <f t="shared" si="48"/>
        <v>2.4318364868930937E-3</v>
      </c>
      <c r="J29" s="49">
        <f t="shared" si="48"/>
        <v>6.170012908640086E-4</v>
      </c>
      <c r="K29" s="49">
        <f t="shared" si="48"/>
        <v>1.8428572659932899E-3</v>
      </c>
      <c r="L29" s="49">
        <f t="shared" si="48"/>
        <v>6.0356166079684407E-4</v>
      </c>
      <c r="M29" s="49">
        <f t="shared" si="48"/>
        <v>1.8189982131657917E-3</v>
      </c>
      <c r="N29" s="49">
        <f t="shared" si="48"/>
        <v>0</v>
      </c>
      <c r="O29" s="49">
        <f t="shared" si="48"/>
        <v>2.7104221453771869E-3</v>
      </c>
      <c r="P29" s="49">
        <f t="shared" si="48"/>
        <v>6.0050182104531965E-4</v>
      </c>
      <c r="Q29" s="49">
        <f t="shared" si="48"/>
        <v>1.7969914563329388E-3</v>
      </c>
      <c r="R29" s="49">
        <f t="shared" ref="R29:AG29" si="49">(R9/70.94*R17)*4/R18</f>
        <v>3.0039456959151387E-4</v>
      </c>
      <c r="S29" s="49">
        <f t="shared" si="49"/>
        <v>0</v>
      </c>
      <c r="T29" s="49">
        <f t="shared" si="49"/>
        <v>9.0101904964858502E-4</v>
      </c>
      <c r="U29" s="49">
        <f t="shared" si="49"/>
        <v>1.5110633315693043E-3</v>
      </c>
      <c r="V29" s="49">
        <f t="shared" si="49"/>
        <v>0</v>
      </c>
      <c r="W29" s="49">
        <f t="shared" si="49"/>
        <v>5.8574562214193198E-4</v>
      </c>
      <c r="X29" s="49">
        <f t="shared" si="49"/>
        <v>0</v>
      </c>
      <c r="Y29" s="49">
        <f t="shared" si="49"/>
        <v>1.1567446252097912E-3</v>
      </c>
      <c r="Z29" s="49">
        <f t="shared" si="49"/>
        <v>0</v>
      </c>
      <c r="AA29" s="49">
        <f t="shared" si="49"/>
        <v>8.855724771446923E-4</v>
      </c>
      <c r="AB29" s="49">
        <f t="shared" si="49"/>
        <v>1.4554404354618364E-3</v>
      </c>
      <c r="AC29" s="49">
        <f t="shared" si="49"/>
        <v>2.9255557791136249E-4</v>
      </c>
      <c r="AD29" s="49">
        <f t="shared" si="49"/>
        <v>2.9306301704162324E-3</v>
      </c>
      <c r="AE29" s="49">
        <f t="shared" si="49"/>
        <v>3.0288282667802966E-4</v>
      </c>
      <c r="AF29" s="49">
        <f t="shared" si="49"/>
        <v>0</v>
      </c>
      <c r="AG29" s="49">
        <f t="shared" si="49"/>
        <v>9.0728339360528795E-4</v>
      </c>
      <c r="AH29" s="49">
        <f t="shared" ref="AH29:AW29" si="50">(AH9/70.94*AH17)*4/AH18</f>
        <v>0</v>
      </c>
      <c r="AI29" s="49">
        <f t="shared" si="50"/>
        <v>0</v>
      </c>
      <c r="AJ29" s="49">
        <f t="shared" si="50"/>
        <v>3.0085990238421558E-4</v>
      </c>
      <c r="AK29" s="49">
        <f t="shared" si="50"/>
        <v>1.5060279740844319E-3</v>
      </c>
      <c r="AL29" s="49">
        <f t="shared" si="50"/>
        <v>1.8314892708290267E-3</v>
      </c>
      <c r="AM29" s="49">
        <f t="shared" si="50"/>
        <v>0</v>
      </c>
      <c r="AN29" s="49">
        <f t="shared" si="50"/>
        <v>2.0889191573724621E-3</v>
      </c>
      <c r="AO29" s="49">
        <f t="shared" si="50"/>
        <v>1.4963860076266076E-3</v>
      </c>
      <c r="AP29" s="49">
        <f t="shared" si="50"/>
        <v>9.2200362580130632E-3</v>
      </c>
      <c r="AQ29" s="49">
        <f t="shared" si="50"/>
        <v>0</v>
      </c>
      <c r="AR29" s="49">
        <f t="shared" si="50"/>
        <v>0</v>
      </c>
      <c r="AS29" s="49">
        <f t="shared" si="50"/>
        <v>1.7997640920241361E-3</v>
      </c>
      <c r="AT29" s="49">
        <f t="shared" si="50"/>
        <v>2.9980244534635235E-4</v>
      </c>
      <c r="AU29" s="49">
        <f t="shared" si="50"/>
        <v>0</v>
      </c>
      <c r="AV29" s="49">
        <f t="shared" si="50"/>
        <v>1.3744517335030274E-2</v>
      </c>
      <c r="AW29" s="49">
        <f t="shared" si="50"/>
        <v>2.3932650224636706E-3</v>
      </c>
      <c r="AX29" s="49">
        <f t="shared" ref="AX29:BE29" si="51">(AX9/70.94*AX17)*4/AX18</f>
        <v>2.0980101759095573E-3</v>
      </c>
      <c r="AY29" s="49">
        <f t="shared" si="51"/>
        <v>0</v>
      </c>
      <c r="AZ29" s="49">
        <f t="shared" si="51"/>
        <v>2.4448814493332935E-3</v>
      </c>
      <c r="BA29" s="49">
        <f t="shared" si="51"/>
        <v>2.9386256608275522E-3</v>
      </c>
      <c r="BB29" s="49">
        <f t="shared" si="51"/>
        <v>3.6201234083906102E-3</v>
      </c>
      <c r="BC29" s="49">
        <f t="shared" si="51"/>
        <v>0</v>
      </c>
      <c r="BD29" s="49">
        <f t="shared" si="51"/>
        <v>0</v>
      </c>
      <c r="BE29" s="49">
        <f t="shared" si="51"/>
        <v>6.0733093767333731E-4</v>
      </c>
    </row>
    <row r="30" spans="1:57" s="5" customFormat="1">
      <c r="A30" s="15" t="s">
        <v>26</v>
      </c>
      <c r="B30" s="49">
        <f t="shared" ref="B30:Q30" si="52">(B6/56.08*B17)*4/B18</f>
        <v>0.46684903399806493</v>
      </c>
      <c r="C30" s="49">
        <f t="shared" si="52"/>
        <v>0.48361342630168636</v>
      </c>
      <c r="D30" s="49">
        <f t="shared" si="52"/>
        <v>0.4905869275543277</v>
      </c>
      <c r="E30" s="49">
        <f t="shared" si="52"/>
        <v>0.48908450890646216</v>
      </c>
      <c r="F30" s="49">
        <f t="shared" si="52"/>
        <v>0.48732313396774052</v>
      </c>
      <c r="G30" s="49">
        <f t="shared" si="52"/>
        <v>0.51029566317346842</v>
      </c>
      <c r="H30" s="49">
        <f t="shared" si="52"/>
        <v>0.51180182943754615</v>
      </c>
      <c r="I30" s="49">
        <f t="shared" si="52"/>
        <v>0.49757876607519108</v>
      </c>
      <c r="J30" s="49">
        <f t="shared" si="52"/>
        <v>0.50849146987145399</v>
      </c>
      <c r="K30" s="49">
        <f t="shared" si="52"/>
        <v>0.52257173096369336</v>
      </c>
      <c r="L30" s="49">
        <f t="shared" si="52"/>
        <v>0.45160586455622298</v>
      </c>
      <c r="M30" s="49">
        <f t="shared" si="52"/>
        <v>0.45482977777279421</v>
      </c>
      <c r="N30" s="49">
        <f t="shared" si="52"/>
        <v>0.46009470629199639</v>
      </c>
      <c r="O30" s="49">
        <f t="shared" si="52"/>
        <v>0.4586739692891928</v>
      </c>
      <c r="P30" s="49">
        <f t="shared" si="52"/>
        <v>0.50248992262567249</v>
      </c>
      <c r="Q30" s="49">
        <f t="shared" si="52"/>
        <v>0.45463114804657162</v>
      </c>
      <c r="R30" s="49">
        <f t="shared" ref="R30:AG30" si="53">(R6/56.08*R17)*4/R18</f>
        <v>0.47347090755100224</v>
      </c>
      <c r="S30" s="49">
        <f t="shared" si="53"/>
        <v>0.41319855719282583</v>
      </c>
      <c r="T30" s="49">
        <f t="shared" si="53"/>
        <v>0.40651790168102453</v>
      </c>
      <c r="U30" s="49">
        <f t="shared" si="53"/>
        <v>0.4105822052938638</v>
      </c>
      <c r="V30" s="49">
        <f t="shared" si="53"/>
        <v>0.43687341225281062</v>
      </c>
      <c r="W30" s="49">
        <f t="shared" si="53"/>
        <v>0.5457138570112765</v>
      </c>
      <c r="X30" s="49">
        <f t="shared" si="53"/>
        <v>0.58055132238169171</v>
      </c>
      <c r="Y30" s="49">
        <f t="shared" si="53"/>
        <v>0.56591472166126899</v>
      </c>
      <c r="Z30" s="49">
        <f t="shared" si="53"/>
        <v>0.69897349579559098</v>
      </c>
      <c r="AA30" s="49">
        <f t="shared" si="53"/>
        <v>0.57878562095458241</v>
      </c>
      <c r="AB30" s="49">
        <f t="shared" si="53"/>
        <v>0.52434556689061207</v>
      </c>
      <c r="AC30" s="49">
        <f t="shared" si="53"/>
        <v>0.5628864263941824</v>
      </c>
      <c r="AD30" s="49">
        <f t="shared" si="53"/>
        <v>0.53494671699268825</v>
      </c>
      <c r="AE30" s="49">
        <f t="shared" si="53"/>
        <v>0.55440400637319098</v>
      </c>
      <c r="AF30" s="49">
        <f t="shared" si="53"/>
        <v>0.47757221944003497</v>
      </c>
      <c r="AG30" s="49">
        <f t="shared" si="53"/>
        <v>0.50039461838210741</v>
      </c>
      <c r="AH30" s="49">
        <f t="shared" ref="AH30:AW30" si="54">(AH6/56.08*AH17)*4/AH18</f>
        <v>0.5088749798448301</v>
      </c>
      <c r="AI30" s="49">
        <f t="shared" si="54"/>
        <v>0.50774073896464511</v>
      </c>
      <c r="AJ30" s="49">
        <f t="shared" si="54"/>
        <v>0.48029364945830866</v>
      </c>
      <c r="AK30" s="49">
        <f t="shared" si="54"/>
        <v>0.53228302924652204</v>
      </c>
      <c r="AL30" s="49">
        <f t="shared" si="54"/>
        <v>0.4753290536203767</v>
      </c>
      <c r="AM30" s="49">
        <f t="shared" si="54"/>
        <v>0.46684903399806493</v>
      </c>
      <c r="AN30" s="49">
        <f t="shared" si="54"/>
        <v>0.46242665619116319</v>
      </c>
      <c r="AO30" s="49">
        <f t="shared" si="54"/>
        <v>0.4868529232097239</v>
      </c>
      <c r="AP30" s="49">
        <f t="shared" si="54"/>
        <v>0.52371299412341699</v>
      </c>
      <c r="AQ30" s="49">
        <f t="shared" si="54"/>
        <v>0.52451882057851607</v>
      </c>
      <c r="AR30" s="49">
        <f t="shared" si="54"/>
        <v>0.47772043139587905</v>
      </c>
      <c r="AS30" s="49">
        <f t="shared" si="54"/>
        <v>0.52173528574139405</v>
      </c>
      <c r="AT30" s="49">
        <f t="shared" si="54"/>
        <v>0.5081865287740035</v>
      </c>
      <c r="AU30" s="49">
        <f t="shared" si="54"/>
        <v>0.48087371509913635</v>
      </c>
      <c r="AV30" s="49">
        <f t="shared" si="54"/>
        <v>1.7386520323592145E-2</v>
      </c>
      <c r="AW30" s="49">
        <f t="shared" si="54"/>
        <v>0.41967735099227038</v>
      </c>
      <c r="AX30" s="49">
        <f t="shared" ref="AX30:BE30" si="55">(AX6/56.08*AX17)*4/AX18</f>
        <v>0.42425094269061503</v>
      </c>
      <c r="AY30" s="49">
        <f t="shared" si="55"/>
        <v>0.43964619356541768</v>
      </c>
      <c r="AZ30" s="49">
        <f t="shared" si="55"/>
        <v>0.42718232539976986</v>
      </c>
      <c r="BA30" s="49">
        <f t="shared" si="55"/>
        <v>0.42302857842978475</v>
      </c>
      <c r="BB30" s="49">
        <f t="shared" si="55"/>
        <v>0.46709662211671626</v>
      </c>
      <c r="BC30" s="49">
        <f t="shared" si="55"/>
        <v>0.43039696122364723</v>
      </c>
      <c r="BD30" s="49">
        <f t="shared" si="55"/>
        <v>0.46964319828420065</v>
      </c>
      <c r="BE30" s="49">
        <f t="shared" si="55"/>
        <v>0.41754965810502936</v>
      </c>
    </row>
    <row r="31" spans="1:57" s="5" customFormat="1">
      <c r="A31" s="15" t="s">
        <v>27</v>
      </c>
      <c r="B31" s="49">
        <f t="shared" ref="B31:Q31" si="56">(B12/61.982*B17*2)*4/B18</f>
        <v>0.4941096353819518</v>
      </c>
      <c r="C31" s="49">
        <f t="shared" si="56"/>
        <v>0.50722161372993035</v>
      </c>
      <c r="D31" s="49">
        <f t="shared" si="56"/>
        <v>0.49825215322558025</v>
      </c>
      <c r="E31" s="49">
        <f t="shared" si="56"/>
        <v>0.50631436760123882</v>
      </c>
      <c r="F31" s="49">
        <f t="shared" si="56"/>
        <v>0.49792327359587146</v>
      </c>
      <c r="G31" s="49">
        <f t="shared" si="56"/>
        <v>0.45018825742146501</v>
      </c>
      <c r="H31" s="49">
        <f t="shared" si="56"/>
        <v>0.45291706606145493</v>
      </c>
      <c r="I31" s="49">
        <f t="shared" si="56"/>
        <v>0.46272357076582876</v>
      </c>
      <c r="J31" s="49">
        <f t="shared" si="56"/>
        <v>0.43500313138520774</v>
      </c>
      <c r="K31" s="49">
        <f t="shared" si="56"/>
        <v>0.4555867122891456</v>
      </c>
      <c r="L31" s="49">
        <f t="shared" si="56"/>
        <v>0.51878472503167083</v>
      </c>
      <c r="M31" s="49">
        <f t="shared" si="56"/>
        <v>0.51908468299937616</v>
      </c>
      <c r="N31" s="49">
        <f t="shared" si="56"/>
        <v>0.51368259626829083</v>
      </c>
      <c r="O31" s="49">
        <f t="shared" si="56"/>
        <v>0.52116089017511025</v>
      </c>
      <c r="P31" s="49">
        <f t="shared" si="56"/>
        <v>0.46529522519787225</v>
      </c>
      <c r="Q31" s="49">
        <f t="shared" si="56"/>
        <v>0.51349021683866147</v>
      </c>
      <c r="R31" s="49">
        <f t="shared" ref="R31:AG31" si="57">(R12/61.982*R17*2)*4/R18</f>
        <v>0.51502639748151635</v>
      </c>
      <c r="S31" s="49">
        <f t="shared" si="57"/>
        <v>0.56353901121824002</v>
      </c>
      <c r="T31" s="49">
        <f t="shared" si="57"/>
        <v>0.5548068917355683</v>
      </c>
      <c r="U31" s="49">
        <f t="shared" si="57"/>
        <v>0.56449281092630499</v>
      </c>
      <c r="V31" s="49">
        <f t="shared" si="57"/>
        <v>0.55563036104300634</v>
      </c>
      <c r="W31" s="49">
        <f t="shared" si="57"/>
        <v>0.40492220061611744</v>
      </c>
      <c r="X31" s="49">
        <f t="shared" si="57"/>
        <v>0.38111111206947595</v>
      </c>
      <c r="Y31" s="49">
        <f t="shared" si="57"/>
        <v>0.4163741301917383</v>
      </c>
      <c r="Z31" s="49">
        <f t="shared" si="57"/>
        <v>0.3066890723874019</v>
      </c>
      <c r="AA31" s="49">
        <f t="shared" si="57"/>
        <v>0.41015417914757185</v>
      </c>
      <c r="AB31" s="49">
        <f t="shared" si="57"/>
        <v>0.46775359964600816</v>
      </c>
      <c r="AC31" s="49">
        <f t="shared" si="57"/>
        <v>0.41921644439811767</v>
      </c>
      <c r="AD31" s="49">
        <f t="shared" si="57"/>
        <v>0.43134779599895967</v>
      </c>
      <c r="AE31" s="49">
        <f t="shared" si="57"/>
        <v>0.41598866234466964</v>
      </c>
      <c r="AF31" s="49">
        <f t="shared" si="57"/>
        <v>0.49812633132070738</v>
      </c>
      <c r="AG31" s="49">
        <f t="shared" si="57"/>
        <v>0.46589962992705086</v>
      </c>
      <c r="AH31" s="49">
        <f t="shared" ref="AH31:AW31" si="58">(AH12/61.982*AH17*2)*4/AH18</f>
        <v>0.46180193758079113</v>
      </c>
      <c r="AI31" s="49">
        <f t="shared" si="58"/>
        <v>0.46459373608922355</v>
      </c>
      <c r="AJ31" s="49">
        <f t="shared" si="58"/>
        <v>0.50962605568070818</v>
      </c>
      <c r="AK31" s="49">
        <f t="shared" si="58"/>
        <v>0.43988515645980214</v>
      </c>
      <c r="AL31" s="49">
        <f t="shared" si="58"/>
        <v>0.4905077060467718</v>
      </c>
      <c r="AM31" s="49">
        <f t="shared" si="58"/>
        <v>0.4941096353819518</v>
      </c>
      <c r="AN31" s="49">
        <f t="shared" si="58"/>
        <v>0.4966078699919782</v>
      </c>
      <c r="AO31" s="49">
        <f t="shared" si="58"/>
        <v>0.48091280444957663</v>
      </c>
      <c r="AP31" s="49">
        <f t="shared" si="58"/>
        <v>0.45478171143528912</v>
      </c>
      <c r="AQ31" s="49">
        <f t="shared" si="58"/>
        <v>0.43516849169923016</v>
      </c>
      <c r="AR31" s="49">
        <f t="shared" si="58"/>
        <v>0.50007958515359563</v>
      </c>
      <c r="AS31" s="49">
        <f t="shared" si="58"/>
        <v>0.43463393967939978</v>
      </c>
      <c r="AT31" s="49">
        <f t="shared" si="58"/>
        <v>0.44469860883546558</v>
      </c>
      <c r="AU31" s="49">
        <f t="shared" si="58"/>
        <v>0.4846596939527601</v>
      </c>
      <c r="AV31" s="49">
        <f t="shared" si="58"/>
        <v>0.41789624232101474</v>
      </c>
      <c r="AW31" s="49">
        <f t="shared" si="58"/>
        <v>0.53550453592322733</v>
      </c>
      <c r="AX31" s="49">
        <f t="shared" ref="AX31:BE31" si="59">(AX12/61.982*AX17*2)*4/AX18</f>
        <v>0.54473545984292704</v>
      </c>
      <c r="AY31" s="49">
        <f t="shared" si="59"/>
        <v>0.51177911843461954</v>
      </c>
      <c r="AZ31" s="49">
        <f t="shared" si="59"/>
        <v>0.53935882676465607</v>
      </c>
      <c r="BA31" s="49">
        <f t="shared" si="59"/>
        <v>0.54687794153210167</v>
      </c>
      <c r="BB31" s="49">
        <f t="shared" si="59"/>
        <v>0.4744106837581204</v>
      </c>
      <c r="BC31" s="49">
        <f t="shared" si="59"/>
        <v>0.53661882356172153</v>
      </c>
      <c r="BD31" s="49">
        <f t="shared" si="59"/>
        <v>0.49562707492542479</v>
      </c>
      <c r="BE31" s="49">
        <f t="shared" si="59"/>
        <v>0.55538965051335376</v>
      </c>
    </row>
    <row r="32" spans="1:57" s="5" customFormat="1">
      <c r="A32" s="15" t="s">
        <v>28</v>
      </c>
      <c r="B32" s="49">
        <f t="shared" ref="B32:Q32" si="60">(B5/94.2*B17*2)*4/B18</f>
        <v>4.5154964939024734E-4</v>
      </c>
      <c r="C32" s="49">
        <f t="shared" si="60"/>
        <v>1.334972826420745E-3</v>
      </c>
      <c r="D32" s="49">
        <f t="shared" si="60"/>
        <v>1.7890393120919418E-3</v>
      </c>
      <c r="E32" s="49">
        <f t="shared" si="60"/>
        <v>8.9796833979031781E-4</v>
      </c>
      <c r="F32" s="49">
        <f t="shared" si="60"/>
        <v>2.2594831498659717E-3</v>
      </c>
      <c r="G32" s="49">
        <f t="shared" si="60"/>
        <v>4.5924996414518416E-4</v>
      </c>
      <c r="H32" s="49">
        <f t="shared" si="60"/>
        <v>1.3818163984987595E-3</v>
      </c>
      <c r="I32" s="49">
        <f t="shared" si="60"/>
        <v>4.5784097765444822E-4</v>
      </c>
      <c r="J32" s="49">
        <f t="shared" si="60"/>
        <v>2.3232522066822065E-3</v>
      </c>
      <c r="K32" s="49">
        <f t="shared" si="60"/>
        <v>0</v>
      </c>
      <c r="L32" s="49">
        <f t="shared" si="60"/>
        <v>0</v>
      </c>
      <c r="M32" s="49">
        <f t="shared" si="60"/>
        <v>4.5661618273878723E-4</v>
      </c>
      <c r="N32" s="49">
        <f t="shared" si="60"/>
        <v>9.1226565013427085E-4</v>
      </c>
      <c r="O32" s="49">
        <f t="shared" si="60"/>
        <v>0</v>
      </c>
      <c r="P32" s="49">
        <f t="shared" si="60"/>
        <v>0</v>
      </c>
      <c r="Q32" s="49">
        <f t="shared" si="60"/>
        <v>0</v>
      </c>
      <c r="R32" s="49">
        <f t="shared" ref="R32:AG32" si="61">(R5/94.2*R17*2)*4/R18</f>
        <v>9.0488283510921418E-4</v>
      </c>
      <c r="S32" s="49">
        <f t="shared" si="61"/>
        <v>1.3615633938570094E-3</v>
      </c>
      <c r="T32" s="49">
        <f t="shared" si="61"/>
        <v>0</v>
      </c>
      <c r="U32" s="49">
        <f t="shared" si="61"/>
        <v>1.8207190274569247E-3</v>
      </c>
      <c r="V32" s="49">
        <f t="shared" si="61"/>
        <v>1.7921340201369437E-3</v>
      </c>
      <c r="W32" s="49">
        <f t="shared" si="61"/>
        <v>8.8222493492035362E-4</v>
      </c>
      <c r="X32" s="49">
        <f t="shared" si="61"/>
        <v>8.722248296239365E-4</v>
      </c>
      <c r="Y32" s="49">
        <f t="shared" si="61"/>
        <v>0</v>
      </c>
      <c r="Z32" s="49">
        <f t="shared" si="61"/>
        <v>1.3665656917022E-3</v>
      </c>
      <c r="AA32" s="49">
        <f t="shared" si="61"/>
        <v>8.8920752340614962E-4</v>
      </c>
      <c r="AB32" s="49">
        <f t="shared" si="61"/>
        <v>0</v>
      </c>
      <c r="AC32" s="49">
        <f t="shared" si="61"/>
        <v>0</v>
      </c>
      <c r="AD32" s="49">
        <f t="shared" si="61"/>
        <v>4.413989475357272E-4</v>
      </c>
      <c r="AE32" s="49">
        <f t="shared" si="61"/>
        <v>9.1237824732651499E-4</v>
      </c>
      <c r="AF32" s="49">
        <f t="shared" si="61"/>
        <v>4.5021794679195662E-4</v>
      </c>
      <c r="AG32" s="49">
        <f t="shared" si="61"/>
        <v>0</v>
      </c>
      <c r="AH32" s="49">
        <f t="shared" ref="AH32:AW32" si="62">(AH5/94.2*AH17*2)*4/AH18</f>
        <v>0</v>
      </c>
      <c r="AI32" s="49">
        <f t="shared" si="62"/>
        <v>0</v>
      </c>
      <c r="AJ32" s="49">
        <f t="shared" si="62"/>
        <v>9.0628456370005315E-4</v>
      </c>
      <c r="AK32" s="49">
        <f t="shared" si="62"/>
        <v>0</v>
      </c>
      <c r="AL32" s="49">
        <f t="shared" si="62"/>
        <v>2.2987588264793196E-3</v>
      </c>
      <c r="AM32" s="49">
        <f t="shared" si="62"/>
        <v>4.5154964939024734E-4</v>
      </c>
      <c r="AN32" s="49">
        <f t="shared" si="62"/>
        <v>0</v>
      </c>
      <c r="AO32" s="49">
        <f t="shared" si="62"/>
        <v>4.5075848569440152E-4</v>
      </c>
      <c r="AP32" s="49">
        <f t="shared" si="62"/>
        <v>3.5836963065184395E-3</v>
      </c>
      <c r="AQ32" s="49">
        <f t="shared" si="62"/>
        <v>1.8036754402595706E-3</v>
      </c>
      <c r="AR32" s="49">
        <f t="shared" si="62"/>
        <v>0</v>
      </c>
      <c r="AS32" s="49">
        <f t="shared" si="62"/>
        <v>1.3553637440360106E-3</v>
      </c>
      <c r="AT32" s="49">
        <f t="shared" si="62"/>
        <v>4.515495854112577E-4</v>
      </c>
      <c r="AU32" s="49">
        <f t="shared" si="62"/>
        <v>0</v>
      </c>
      <c r="AV32" s="49">
        <f t="shared" si="62"/>
        <v>6.0304085666991775E-2</v>
      </c>
      <c r="AW32" s="49">
        <f t="shared" si="62"/>
        <v>4.5057914196808063E-4</v>
      </c>
      <c r="AX32" s="49">
        <f t="shared" ref="AX32:BE32" si="63">(AX5/94.2*AX17*2)*4/AX18</f>
        <v>1.3542569779711009E-3</v>
      </c>
      <c r="AY32" s="49">
        <f t="shared" si="63"/>
        <v>0</v>
      </c>
      <c r="AZ32" s="49">
        <f t="shared" si="63"/>
        <v>0</v>
      </c>
      <c r="BA32" s="49">
        <f t="shared" si="63"/>
        <v>0</v>
      </c>
      <c r="BB32" s="49">
        <f t="shared" si="63"/>
        <v>2.2718644249047227E-3</v>
      </c>
      <c r="BC32" s="49">
        <f t="shared" si="63"/>
        <v>1.3738757640421747E-3</v>
      </c>
      <c r="BD32" s="49">
        <f t="shared" si="63"/>
        <v>0</v>
      </c>
      <c r="BE32" s="49">
        <f t="shared" si="63"/>
        <v>0</v>
      </c>
    </row>
    <row r="33" spans="1:57" s="5" customFormat="1">
      <c r="A33" t="s">
        <v>442</v>
      </c>
      <c r="B33" s="49">
        <f t="shared" ref="B33:Q33" si="64">SUM(B20:B32)</f>
        <v>4.0000000000000009</v>
      </c>
      <c r="C33" s="49">
        <f t="shared" si="64"/>
        <v>3.9999999999999996</v>
      </c>
      <c r="D33" s="49">
        <f t="shared" si="64"/>
        <v>3.9999999999999991</v>
      </c>
      <c r="E33" s="49">
        <f t="shared" si="64"/>
        <v>3.9999999999999996</v>
      </c>
      <c r="F33" s="49">
        <f t="shared" si="64"/>
        <v>3.9999999999999991</v>
      </c>
      <c r="G33" s="49">
        <f t="shared" si="64"/>
        <v>4.0000000000000009</v>
      </c>
      <c r="H33" s="49">
        <f t="shared" si="64"/>
        <v>4</v>
      </c>
      <c r="I33" s="49">
        <f t="shared" si="64"/>
        <v>4</v>
      </c>
      <c r="J33" s="49">
        <f t="shared" si="64"/>
        <v>3.9999999999999991</v>
      </c>
      <c r="K33" s="49">
        <f t="shared" si="64"/>
        <v>4</v>
      </c>
      <c r="L33" s="49">
        <f t="shared" si="64"/>
        <v>4</v>
      </c>
      <c r="M33" s="49">
        <f t="shared" si="64"/>
        <v>4.0000000000000009</v>
      </c>
      <c r="N33" s="49">
        <f t="shared" si="64"/>
        <v>4</v>
      </c>
      <c r="O33" s="49">
        <f t="shared" si="64"/>
        <v>3.9999999999999987</v>
      </c>
      <c r="P33" s="49">
        <f t="shared" si="64"/>
        <v>4</v>
      </c>
      <c r="Q33" s="49">
        <f t="shared" si="64"/>
        <v>4</v>
      </c>
      <c r="R33" s="49">
        <f t="shared" ref="R33:AG33" si="65">SUM(R20:R32)</f>
        <v>4</v>
      </c>
      <c r="S33" s="49">
        <f t="shared" si="65"/>
        <v>4</v>
      </c>
      <c r="T33" s="49">
        <f t="shared" si="65"/>
        <v>4.0000000000000009</v>
      </c>
      <c r="U33" s="49">
        <f t="shared" si="65"/>
        <v>4</v>
      </c>
      <c r="V33" s="49">
        <f t="shared" si="65"/>
        <v>4</v>
      </c>
      <c r="W33" s="49">
        <f t="shared" si="65"/>
        <v>4</v>
      </c>
      <c r="X33" s="49">
        <f t="shared" si="65"/>
        <v>4</v>
      </c>
      <c r="Y33" s="49">
        <f t="shared" si="65"/>
        <v>4.0000000000000009</v>
      </c>
      <c r="Z33" s="49">
        <f t="shared" si="65"/>
        <v>4</v>
      </c>
      <c r="AA33" s="49">
        <f t="shared" si="65"/>
        <v>3.9999999999999991</v>
      </c>
      <c r="AB33" s="49">
        <f t="shared" si="65"/>
        <v>4</v>
      </c>
      <c r="AC33" s="49">
        <f t="shared" si="65"/>
        <v>3.9999999999999991</v>
      </c>
      <c r="AD33" s="49">
        <f t="shared" si="65"/>
        <v>4.0000000000000009</v>
      </c>
      <c r="AE33" s="49">
        <f t="shared" si="65"/>
        <v>3.9999999999999996</v>
      </c>
      <c r="AF33" s="49">
        <f t="shared" si="65"/>
        <v>4</v>
      </c>
      <c r="AG33" s="49">
        <f t="shared" si="65"/>
        <v>3.9999999999999996</v>
      </c>
      <c r="AH33" s="49">
        <f t="shared" ref="AH33:AW33" si="66">SUM(AH20:AH32)</f>
        <v>4</v>
      </c>
      <c r="AI33" s="49">
        <f t="shared" si="66"/>
        <v>4</v>
      </c>
      <c r="AJ33" s="49">
        <f t="shared" si="66"/>
        <v>4</v>
      </c>
      <c r="AK33" s="49">
        <f t="shared" si="66"/>
        <v>4</v>
      </c>
      <c r="AL33" s="49">
        <f t="shared" si="66"/>
        <v>3.9999999999999991</v>
      </c>
      <c r="AM33" s="49">
        <f t="shared" si="66"/>
        <v>4.0000000000000009</v>
      </c>
      <c r="AN33" s="49">
        <f t="shared" si="66"/>
        <v>3.9999999999999991</v>
      </c>
      <c r="AO33" s="49">
        <f t="shared" si="66"/>
        <v>4</v>
      </c>
      <c r="AP33" s="49">
        <f t="shared" si="66"/>
        <v>4</v>
      </c>
      <c r="AQ33" s="49">
        <f t="shared" si="66"/>
        <v>4.0000000000000009</v>
      </c>
      <c r="AR33" s="49">
        <f t="shared" si="66"/>
        <v>4</v>
      </c>
      <c r="AS33" s="49">
        <f t="shared" si="66"/>
        <v>4</v>
      </c>
      <c r="AT33" s="49">
        <f t="shared" si="66"/>
        <v>3.9999999999999996</v>
      </c>
      <c r="AU33" s="49">
        <f t="shared" si="66"/>
        <v>4.0000000000000009</v>
      </c>
      <c r="AV33" s="49">
        <f t="shared" si="66"/>
        <v>4</v>
      </c>
      <c r="AW33" s="49">
        <f t="shared" si="66"/>
        <v>4</v>
      </c>
      <c r="AX33" s="49">
        <f t="shared" ref="AX33:BE33" si="67">SUM(AX20:AX32)</f>
        <v>3.9999999999999996</v>
      </c>
      <c r="AY33" s="49">
        <f t="shared" si="67"/>
        <v>4</v>
      </c>
      <c r="AZ33" s="49">
        <f t="shared" si="67"/>
        <v>3.9999999999999991</v>
      </c>
      <c r="BA33" s="49">
        <f t="shared" si="67"/>
        <v>4.0000000000000009</v>
      </c>
      <c r="BB33" s="49">
        <f t="shared" si="67"/>
        <v>3.9999999999999996</v>
      </c>
      <c r="BC33" s="49">
        <f t="shared" si="67"/>
        <v>4</v>
      </c>
      <c r="BD33" s="49">
        <f t="shared" si="67"/>
        <v>4</v>
      </c>
      <c r="BE33" s="49">
        <f t="shared" si="67"/>
        <v>4</v>
      </c>
    </row>
    <row r="34" spans="1:57" s="4" customFormat="1">
      <c r="A34" s="51" t="s">
        <v>10</v>
      </c>
      <c r="B34" s="36">
        <f t="shared" ref="B34:Q34" si="68">B10*(B26/(B26+B25))</f>
        <v>2.9354060454371478</v>
      </c>
      <c r="C34" s="36">
        <f t="shared" si="68"/>
        <v>0.89989401373015909</v>
      </c>
      <c r="D34" s="36">
        <f t="shared" si="68"/>
        <v>1.3819352791187316</v>
      </c>
      <c r="E34" s="36">
        <f t="shared" si="68"/>
        <v>1.5441976534821782</v>
      </c>
      <c r="F34" s="36">
        <f t="shared" si="68"/>
        <v>1.9898366662283724</v>
      </c>
      <c r="G34" s="36">
        <f t="shared" si="68"/>
        <v>4.284136326772086</v>
      </c>
      <c r="H34" s="36">
        <f t="shared" si="68"/>
        <v>5.091224969279657</v>
      </c>
      <c r="I34" s="36">
        <f t="shared" si="68"/>
        <v>3.3582651581372294</v>
      </c>
      <c r="J34" s="36">
        <f t="shared" si="68"/>
        <v>4.896336377599293</v>
      </c>
      <c r="K34" s="36">
        <f t="shared" si="68"/>
        <v>2.655928199587299</v>
      </c>
      <c r="L34" s="36">
        <f t="shared" si="68"/>
        <v>3.3358293230899747</v>
      </c>
      <c r="M34" s="36">
        <f t="shared" si="68"/>
        <v>2.6750389935398187</v>
      </c>
      <c r="N34" s="36">
        <f t="shared" si="68"/>
        <v>3.2189345814629107</v>
      </c>
      <c r="O34" s="36">
        <f t="shared" si="68"/>
        <v>2.8606747883617194</v>
      </c>
      <c r="P34" s="36">
        <f t="shared" si="68"/>
        <v>3.5686602284998941</v>
      </c>
      <c r="Q34" s="36">
        <f t="shared" si="68"/>
        <v>2.7604555333828578</v>
      </c>
      <c r="R34" s="36">
        <f t="shared" ref="R34:AG34" si="69">R10*(R26/(R26+R25))</f>
        <v>1.2514675157545392</v>
      </c>
      <c r="S34" s="36">
        <f t="shared" si="69"/>
        <v>3.4277235475809484</v>
      </c>
      <c r="T34" s="36">
        <f t="shared" si="69"/>
        <v>4.156008691762004</v>
      </c>
      <c r="U34" s="36">
        <f t="shared" si="69"/>
        <v>2.6609189589966689</v>
      </c>
      <c r="V34" s="36">
        <f t="shared" si="69"/>
        <v>1.794996017977605</v>
      </c>
      <c r="W34" s="36">
        <f t="shared" si="69"/>
        <v>2.73</v>
      </c>
      <c r="X34" s="36">
        <f t="shared" si="69"/>
        <v>2.88</v>
      </c>
      <c r="Y34" s="36">
        <f t="shared" si="69"/>
        <v>2.81</v>
      </c>
      <c r="Z34" s="36">
        <f t="shared" si="69"/>
        <v>1.200660550494965</v>
      </c>
      <c r="AA34" s="36">
        <f t="shared" si="69"/>
        <v>0</v>
      </c>
      <c r="AB34" s="36">
        <f t="shared" si="69"/>
        <v>0</v>
      </c>
      <c r="AC34" s="36">
        <f t="shared" si="69"/>
        <v>0</v>
      </c>
      <c r="AD34" s="36">
        <f t="shared" si="69"/>
        <v>1.7493105202304426</v>
      </c>
      <c r="AE34" s="36">
        <f t="shared" si="69"/>
        <v>1.6105469538308106</v>
      </c>
      <c r="AF34" s="36">
        <f t="shared" si="69"/>
        <v>1.9052201137190026</v>
      </c>
      <c r="AG34" s="36">
        <f t="shared" si="69"/>
        <v>3.52</v>
      </c>
      <c r="AH34" s="36">
        <f t="shared" ref="AH34:AW34" si="70">AH10*(AH26/(AH26+AH25))</f>
        <v>2.6771852823078808</v>
      </c>
      <c r="AI34" s="36">
        <f t="shared" si="70"/>
        <v>3.51</v>
      </c>
      <c r="AJ34" s="36">
        <f t="shared" si="70"/>
        <v>1.5906857296413379</v>
      </c>
      <c r="AK34" s="36">
        <f t="shared" si="70"/>
        <v>2.41</v>
      </c>
      <c r="AL34" s="36">
        <f t="shared" si="70"/>
        <v>3.11</v>
      </c>
      <c r="AM34" s="36">
        <f t="shared" si="70"/>
        <v>2.9354060454371478</v>
      </c>
      <c r="AN34" s="36">
        <f t="shared" si="70"/>
        <v>2.7696484793709142</v>
      </c>
      <c r="AO34" s="36">
        <f t="shared" si="70"/>
        <v>1.5938691139773489</v>
      </c>
      <c r="AP34" s="36">
        <f t="shared" si="70"/>
        <v>0</v>
      </c>
      <c r="AQ34" s="36">
        <f t="shared" si="70"/>
        <v>2.3938864280172081</v>
      </c>
      <c r="AR34" s="36">
        <f t="shared" si="70"/>
        <v>2.0166034833007229</v>
      </c>
      <c r="AS34" s="36">
        <f t="shared" si="70"/>
        <v>2.5499999999999998</v>
      </c>
      <c r="AT34" s="36">
        <f t="shared" si="70"/>
        <v>2.83</v>
      </c>
      <c r="AU34" s="36">
        <f t="shared" si="70"/>
        <v>3.235865663515467</v>
      </c>
      <c r="AV34" s="36">
        <f t="shared" si="70"/>
        <v>0.71</v>
      </c>
      <c r="AW34" s="36">
        <f t="shared" si="70"/>
        <v>3.6169860312108177</v>
      </c>
      <c r="AX34" s="36">
        <f t="shared" ref="AX34:BE34" si="71">AX10*(AX26/(AX26+AX25))</f>
        <v>3.1859020968456653</v>
      </c>
      <c r="AY34" s="36">
        <f t="shared" si="71"/>
        <v>4.26</v>
      </c>
      <c r="AZ34" s="36">
        <f t="shared" si="71"/>
        <v>3.6045450149172455</v>
      </c>
      <c r="BA34" s="36">
        <f t="shared" si="71"/>
        <v>1.9711888879407859</v>
      </c>
      <c r="BB34" s="36">
        <f t="shared" si="71"/>
        <v>5.0784531314762438</v>
      </c>
      <c r="BC34" s="36">
        <f t="shared" si="71"/>
        <v>3.1079896192049841</v>
      </c>
      <c r="BD34" s="36">
        <f t="shared" si="71"/>
        <v>4.3587523397152372</v>
      </c>
      <c r="BE34" s="36">
        <f t="shared" si="71"/>
        <v>3.1560018149072468</v>
      </c>
    </row>
    <row r="35" spans="1:57" s="4" customFormat="1">
      <c r="A35" s="51" t="s">
        <v>101</v>
      </c>
      <c r="B35" s="36">
        <f t="shared" ref="B35:Q35" si="72">1.1113*B10*(B25/(B25+B26))</f>
        <v>0.50519026170569781</v>
      </c>
      <c r="C35" s="36">
        <f t="shared" si="72"/>
        <v>2.356073782541674</v>
      </c>
      <c r="D35" s="36">
        <f t="shared" si="72"/>
        <v>1.8426073243153538</v>
      </c>
      <c r="E35" s="36">
        <f t="shared" si="72"/>
        <v>1.6845111476852552</v>
      </c>
      <c r="F35" s="36">
        <f t="shared" si="72"/>
        <v>2.4561545128204099</v>
      </c>
      <c r="G35" s="36">
        <f t="shared" si="72"/>
        <v>1.6179013000581803</v>
      </c>
      <c r="H35" s="36">
        <f t="shared" si="72"/>
        <v>0.98769569163951787</v>
      </c>
      <c r="I35" s="36">
        <f t="shared" si="72"/>
        <v>3.1024549297620974</v>
      </c>
      <c r="J35" s="36">
        <f t="shared" si="72"/>
        <v>0.69307738357390569</v>
      </c>
      <c r="K35" s="36">
        <f t="shared" si="72"/>
        <v>3.6051369917986351</v>
      </c>
      <c r="L35" s="36">
        <f t="shared" si="72"/>
        <v>1.3604208732501106</v>
      </c>
      <c r="M35" s="36">
        <f t="shared" si="72"/>
        <v>1.7835931664792</v>
      </c>
      <c r="N35" s="36">
        <f t="shared" si="72"/>
        <v>1.0346929996202681</v>
      </c>
      <c r="O35" s="36">
        <f t="shared" si="72"/>
        <v>2.0662681076936207</v>
      </c>
      <c r="P35" s="36">
        <f t="shared" si="72"/>
        <v>0.85718988806806751</v>
      </c>
      <c r="Q35" s="36">
        <f t="shared" si="72"/>
        <v>2.0665117657516303</v>
      </c>
      <c r="R35" s="36">
        <f t="shared" ref="R35:AG35" si="73">1.1113*R10*(R25/(R25+R26))</f>
        <v>3.0211051497419805</v>
      </c>
      <c r="S35" s="36">
        <f t="shared" si="73"/>
        <v>1.4138808215732923</v>
      </c>
      <c r="T35" s="36">
        <f t="shared" si="73"/>
        <v>0.92681454084488546</v>
      </c>
      <c r="U35" s="36">
        <f t="shared" si="73"/>
        <v>2.8550197608670023</v>
      </c>
      <c r="V35" s="36">
        <f t="shared" si="73"/>
        <v>3.8951109252214868</v>
      </c>
      <c r="W35" s="36">
        <f t="shared" si="73"/>
        <v>0</v>
      </c>
      <c r="X35" s="36">
        <f t="shared" si="73"/>
        <v>0</v>
      </c>
      <c r="Y35" s="36">
        <f t="shared" si="73"/>
        <v>0</v>
      </c>
      <c r="Z35" s="36">
        <f t="shared" si="73"/>
        <v>3.0442279302349449</v>
      </c>
      <c r="AA35" s="36">
        <f t="shared" si="73"/>
        <v>3.2894479999999997</v>
      </c>
      <c r="AB35" s="36">
        <f t="shared" si="73"/>
        <v>3.5117080000000001</v>
      </c>
      <c r="AC35" s="36">
        <f t="shared" si="73"/>
        <v>3.1449789999999997</v>
      </c>
      <c r="AD35" s="36">
        <f t="shared" si="73"/>
        <v>1.1009532188679092</v>
      </c>
      <c r="AE35" s="36">
        <f t="shared" si="73"/>
        <v>0.15497417020782014</v>
      </c>
      <c r="AF35" s="36">
        <f t="shared" si="73"/>
        <v>1.9167478876240724</v>
      </c>
      <c r="AG35" s="36">
        <f t="shared" si="73"/>
        <v>0</v>
      </c>
      <c r="AH35" s="36">
        <f t="shared" ref="AH35:AW35" si="74">1.1113*AH10*(AH25/(AH25+AH26))</f>
        <v>0.11425799577125192</v>
      </c>
      <c r="AI35" s="36">
        <f t="shared" si="74"/>
        <v>0</v>
      </c>
      <c r="AJ35" s="36">
        <f t="shared" si="74"/>
        <v>1.8106569486495812</v>
      </c>
      <c r="AK35" s="36">
        <f t="shared" si="74"/>
        <v>0</v>
      </c>
      <c r="AL35" s="36">
        <f t="shared" si="74"/>
        <v>0</v>
      </c>
      <c r="AM35" s="36">
        <f t="shared" si="74"/>
        <v>0.50519026170569781</v>
      </c>
      <c r="AN35" s="36">
        <f t="shared" si="74"/>
        <v>0.7894136448751029</v>
      </c>
      <c r="AO35" s="36">
        <f t="shared" si="74"/>
        <v>2.0960572536369719</v>
      </c>
      <c r="AP35" s="36">
        <f t="shared" si="74"/>
        <v>3.0671879999999998</v>
      </c>
      <c r="AQ35" s="36">
        <f t="shared" si="74"/>
        <v>0.10681101254447717</v>
      </c>
      <c r="AR35" s="36">
        <f t="shared" si="74"/>
        <v>1.9263235490079067</v>
      </c>
      <c r="AS35" s="36">
        <f t="shared" si="74"/>
        <v>0</v>
      </c>
      <c r="AT35" s="36">
        <f t="shared" si="74"/>
        <v>0</v>
      </c>
      <c r="AU35" s="36">
        <f t="shared" si="74"/>
        <v>3.7933488135261359E-2</v>
      </c>
      <c r="AV35" s="36">
        <f t="shared" si="74"/>
        <v>0</v>
      </c>
      <c r="AW35" s="36">
        <f t="shared" si="74"/>
        <v>0.7590334235154178</v>
      </c>
      <c r="AX35" s="36">
        <f t="shared" ref="AX35:BE35" si="75">1.1113*AX10*(AX25/(AX25+AX26))</f>
        <v>1.3381139997754115</v>
      </c>
      <c r="AY35" s="36">
        <f t="shared" si="75"/>
        <v>0</v>
      </c>
      <c r="AZ35" s="36">
        <f t="shared" si="75"/>
        <v>1.3729611249224651</v>
      </c>
      <c r="BA35" s="36">
        <f t="shared" si="75"/>
        <v>5.5885177888314042</v>
      </c>
      <c r="BB35" s="36">
        <f t="shared" si="75"/>
        <v>2.1465280349904505</v>
      </c>
      <c r="BC35" s="36">
        <f t="shared" si="75"/>
        <v>2.1137041361775006</v>
      </c>
      <c r="BD35" s="36">
        <f t="shared" si="75"/>
        <v>0.26809852487445657</v>
      </c>
      <c r="BE35" s="36">
        <f t="shared" si="75"/>
        <v>2.1714781830935763</v>
      </c>
    </row>
    <row r="36" spans="1:57" s="4" customFormat="1">
      <c r="A36" s="51" t="s">
        <v>209</v>
      </c>
      <c r="B36" s="36">
        <f t="shared" ref="B36:Q36" si="76">B35+B34+B11+B15+B14+B13+B12+B8+B9+B7+B6+B5</f>
        <v>99.750596307142857</v>
      </c>
      <c r="C36" s="36">
        <f t="shared" si="76"/>
        <v>101.34596779627182</v>
      </c>
      <c r="D36" s="36">
        <f t="shared" si="76"/>
        <v>100.6645426034341</v>
      </c>
      <c r="E36" s="36">
        <f t="shared" si="76"/>
        <v>100.27870880116743</v>
      </c>
      <c r="F36" s="36">
        <f t="shared" si="76"/>
        <v>100.13599117904879</v>
      </c>
      <c r="G36" s="36">
        <f t="shared" si="76"/>
        <v>99.342037626830276</v>
      </c>
      <c r="H36" s="36">
        <f t="shared" si="76"/>
        <v>99.198920660919185</v>
      </c>
      <c r="I36" s="36">
        <f t="shared" si="76"/>
        <v>99.730720087899343</v>
      </c>
      <c r="J36" s="36">
        <f t="shared" si="76"/>
        <v>98.139413761173202</v>
      </c>
      <c r="K36" s="36">
        <f t="shared" si="76"/>
        <v>98.781065191385935</v>
      </c>
      <c r="L36" s="36">
        <f t="shared" si="76"/>
        <v>99.466250196340084</v>
      </c>
      <c r="M36" s="36">
        <f t="shared" si="76"/>
        <v>98.898632160019034</v>
      </c>
      <c r="N36" s="36">
        <f t="shared" si="76"/>
        <v>98.983627581083184</v>
      </c>
      <c r="O36" s="36">
        <f t="shared" si="76"/>
        <v>99.806942896055347</v>
      </c>
      <c r="P36" s="36">
        <f t="shared" si="76"/>
        <v>100.21585011656796</v>
      </c>
      <c r="Q36" s="36">
        <f t="shared" si="76"/>
        <v>100.25696729913447</v>
      </c>
      <c r="R36" s="36">
        <f t="shared" ref="R36:AG36" si="77">R35+R34+R11+R15+R14+R13+R12+R8+R9+R7+R6+R5</f>
        <v>99.762572665496506</v>
      </c>
      <c r="S36" s="36">
        <f t="shared" si="77"/>
        <v>99.411604369154247</v>
      </c>
      <c r="T36" s="36">
        <f t="shared" si="77"/>
        <v>99.882823232606896</v>
      </c>
      <c r="U36" s="36">
        <f t="shared" si="77"/>
        <v>99.345938719863668</v>
      </c>
      <c r="V36" s="36">
        <f t="shared" si="77"/>
        <v>101.0601069431991</v>
      </c>
      <c r="W36" s="36">
        <f t="shared" si="77"/>
        <v>103.83000000000001</v>
      </c>
      <c r="X36" s="36">
        <f t="shared" si="77"/>
        <v>104.73999999999998</v>
      </c>
      <c r="Y36" s="36">
        <f t="shared" si="77"/>
        <v>104.39</v>
      </c>
      <c r="Z36" s="36">
        <f t="shared" si="77"/>
        <v>101.83488848072992</v>
      </c>
      <c r="AA36" s="36">
        <f t="shared" si="77"/>
        <v>101.94944799999999</v>
      </c>
      <c r="AB36" s="36">
        <f t="shared" si="77"/>
        <v>103.22170799999999</v>
      </c>
      <c r="AC36" s="36">
        <f t="shared" si="77"/>
        <v>102.554979</v>
      </c>
      <c r="AD36" s="36">
        <f t="shared" si="77"/>
        <v>102.48026373909836</v>
      </c>
      <c r="AE36" s="36">
        <f t="shared" si="77"/>
        <v>98.875521124038627</v>
      </c>
      <c r="AF36" s="36">
        <f t="shared" si="77"/>
        <v>100.16196800134307</v>
      </c>
      <c r="AG36" s="36">
        <f t="shared" si="77"/>
        <v>99.25</v>
      </c>
      <c r="AH36" s="36">
        <f t="shared" ref="AH36:AW36" si="78">AH35+AH34+AH11+AH15+AH14+AH13+AH12+AH8+AH9+AH7+AH6+AH5</f>
        <v>99.011443278079128</v>
      </c>
      <c r="AI36" s="36">
        <f t="shared" si="78"/>
        <v>99.11999999999999</v>
      </c>
      <c r="AJ36" s="36">
        <f t="shared" si="78"/>
        <v>99.351342678290919</v>
      </c>
      <c r="AK36" s="36">
        <f t="shared" si="78"/>
        <v>99.399999999999977</v>
      </c>
      <c r="AL36" s="36">
        <f t="shared" si="78"/>
        <v>99.36</v>
      </c>
      <c r="AM36" s="36">
        <f t="shared" si="78"/>
        <v>99.750596307142857</v>
      </c>
      <c r="AN36" s="36">
        <f t="shared" si="78"/>
        <v>100.27906212424601</v>
      </c>
      <c r="AO36" s="36">
        <f t="shared" si="78"/>
        <v>100.10992636761431</v>
      </c>
      <c r="AP36" s="36">
        <f t="shared" si="78"/>
        <v>100.697188</v>
      </c>
      <c r="AQ36" s="36">
        <f t="shared" si="78"/>
        <v>99.870697440561685</v>
      </c>
      <c r="AR36" s="36">
        <f t="shared" si="78"/>
        <v>99.552927032308617</v>
      </c>
      <c r="AS36" s="36">
        <f t="shared" si="78"/>
        <v>99.81</v>
      </c>
      <c r="AT36" s="36">
        <f t="shared" si="78"/>
        <v>99.870000000000019</v>
      </c>
      <c r="AU36" s="36">
        <f t="shared" si="78"/>
        <v>98.833799151650723</v>
      </c>
      <c r="AV36" s="36">
        <f t="shared" si="78"/>
        <v>99.969999999999985</v>
      </c>
      <c r="AW36" s="36">
        <f t="shared" si="78"/>
        <v>100.29601945472625</v>
      </c>
      <c r="AX36" s="36">
        <f t="shared" ref="AX36:BE36" si="79">AX35+AX34+AX11+AX15+AX14+AX13+AX12+AX8+AX9+AX7+AX6+AX5</f>
        <v>99.904016096621078</v>
      </c>
      <c r="AY36" s="36">
        <f t="shared" si="79"/>
        <v>99.639999999999986</v>
      </c>
      <c r="AZ36" s="36">
        <f t="shared" si="79"/>
        <v>98.197506139839717</v>
      </c>
      <c r="BA36" s="36">
        <f t="shared" si="79"/>
        <v>102.90970667677219</v>
      </c>
      <c r="BB36" s="36">
        <f t="shared" si="79"/>
        <v>100.7149811664667</v>
      </c>
      <c r="BC36" s="36">
        <f t="shared" si="79"/>
        <v>98.781693755382477</v>
      </c>
      <c r="BD36" s="36">
        <f t="shared" si="79"/>
        <v>98.366850864589694</v>
      </c>
      <c r="BE36" s="36">
        <f t="shared" si="79"/>
        <v>98.81747999800082</v>
      </c>
    </row>
    <row r="37" spans="1:57" s="4" customFormat="1">
      <c r="A37" s="4" t="s">
        <v>461</v>
      </c>
      <c r="B37" s="5">
        <f t="shared" ref="B37:Q37" si="80">B22/1</f>
        <v>0.49599760511961377</v>
      </c>
      <c r="C37" s="5">
        <f t="shared" si="80"/>
        <v>0.46089317109740985</v>
      </c>
      <c r="D37" s="5">
        <f t="shared" si="80"/>
        <v>0.46255816907539565</v>
      </c>
      <c r="E37" s="5">
        <f t="shared" si="80"/>
        <v>0.47095933405441109</v>
      </c>
      <c r="F37" s="5">
        <f t="shared" si="80"/>
        <v>0.45777880331847876</v>
      </c>
      <c r="G37" s="5">
        <f t="shared" si="80"/>
        <v>0.40716301958835177</v>
      </c>
      <c r="H37" s="5">
        <f t="shared" si="80"/>
        <v>0.4192485716025911</v>
      </c>
      <c r="I37" s="5">
        <f t="shared" si="80"/>
        <v>0.39753757877084617</v>
      </c>
      <c r="J37" s="5">
        <f t="shared" si="80"/>
        <v>0.41047859941771131</v>
      </c>
      <c r="K37" s="5">
        <f t="shared" si="80"/>
        <v>0.37865852108162207</v>
      </c>
      <c r="L37" s="5">
        <f t="shared" si="80"/>
        <v>0.48787840589966014</v>
      </c>
      <c r="M37" s="5">
        <f t="shared" si="80"/>
        <v>0.47669639567958483</v>
      </c>
      <c r="N37" s="5">
        <f t="shared" si="80"/>
        <v>0.48877454498809919</v>
      </c>
      <c r="O37" s="5">
        <f t="shared" si="80"/>
        <v>0.48198410123432345</v>
      </c>
      <c r="P37" s="5">
        <f t="shared" si="80"/>
        <v>0.44517420956667109</v>
      </c>
      <c r="Q37" s="5">
        <f t="shared" si="80"/>
        <v>0.47887793112742305</v>
      </c>
      <c r="R37" s="5">
        <f t="shared" ref="R37:AG37" si="81">R22/1</f>
        <v>0.46673677118741641</v>
      </c>
      <c r="S37" s="5">
        <f t="shared" si="81"/>
        <v>0.54696988694505799</v>
      </c>
      <c r="T37" s="5">
        <f t="shared" si="81"/>
        <v>0.54624978836828531</v>
      </c>
      <c r="U37" s="5">
        <f t="shared" si="81"/>
        <v>0.51877451289893473</v>
      </c>
      <c r="V37" s="5">
        <f t="shared" si="81"/>
        <v>0.48039881161047149</v>
      </c>
      <c r="W37" s="5">
        <f t="shared" si="81"/>
        <v>0.3434102747051434</v>
      </c>
      <c r="X37" s="5">
        <f t="shared" si="81"/>
        <v>0.33506195146566436</v>
      </c>
      <c r="Y37" s="5">
        <f t="shared" si="81"/>
        <v>0.37969379177960244</v>
      </c>
      <c r="Z37" s="5">
        <f t="shared" si="81"/>
        <v>0.17259889612496718</v>
      </c>
      <c r="AA37" s="5">
        <f t="shared" si="81"/>
        <v>0.31668653294440946</v>
      </c>
      <c r="AB37" s="5">
        <f t="shared" si="81"/>
        <v>0.35014922066722937</v>
      </c>
      <c r="AC37" s="5">
        <f t="shared" si="81"/>
        <v>0.38877631397205659</v>
      </c>
      <c r="AD37" s="5">
        <f t="shared" si="81"/>
        <v>0.39939551772773091</v>
      </c>
      <c r="AE37" s="5">
        <f t="shared" si="81"/>
        <v>0.40822623202518182</v>
      </c>
      <c r="AF37" s="5">
        <f t="shared" si="81"/>
        <v>0.47505956935038773</v>
      </c>
      <c r="AG37" s="5">
        <f t="shared" si="81"/>
        <v>0.47566118053228812</v>
      </c>
      <c r="AH37" s="5">
        <f t="shared" ref="AH37:AW37" si="82">AH22/1</f>
        <v>0.45878883601130654</v>
      </c>
      <c r="AI37" s="5">
        <f t="shared" si="82"/>
        <v>0.47644073426647165</v>
      </c>
      <c r="AJ37" s="5">
        <f t="shared" si="82"/>
        <v>0.46722705550563087</v>
      </c>
      <c r="AK37" s="5">
        <f t="shared" si="82"/>
        <v>0.45101756511816277</v>
      </c>
      <c r="AL37" s="5">
        <f t="shared" si="82"/>
        <v>0.39335685677164328</v>
      </c>
      <c r="AM37" s="5">
        <f t="shared" si="82"/>
        <v>0.49599760511961377</v>
      </c>
      <c r="AN37" s="5">
        <f t="shared" si="82"/>
        <v>0.49915172225477455</v>
      </c>
      <c r="AO37" s="5">
        <f t="shared" si="82"/>
        <v>0.46350800875006892</v>
      </c>
      <c r="AP37" s="5">
        <f t="shared" si="82"/>
        <v>0.41490560258939413</v>
      </c>
      <c r="AQ37" s="5">
        <f t="shared" si="82"/>
        <v>0.44964106888091343</v>
      </c>
      <c r="AR37" s="5">
        <f t="shared" si="82"/>
        <v>0.45528513446704488</v>
      </c>
      <c r="AS37" s="5">
        <f t="shared" si="82"/>
        <v>0.44951646924285549</v>
      </c>
      <c r="AT37" s="5">
        <f t="shared" si="82"/>
        <v>0.45548173779820289</v>
      </c>
      <c r="AU37" s="5">
        <f t="shared" si="82"/>
        <v>0.49423790925071132</v>
      </c>
      <c r="AV37" s="5">
        <f t="shared" si="82"/>
        <v>1.4480573373810537</v>
      </c>
      <c r="AW37" s="5">
        <f t="shared" si="82"/>
        <v>0.52644065206792567</v>
      </c>
      <c r="AX37" s="5">
        <f t="shared" ref="AX37:BE37" si="83">AX22/1</f>
        <v>0.52214775205024078</v>
      </c>
      <c r="AY37" s="5">
        <f t="shared" si="83"/>
        <v>0.53099884846809009</v>
      </c>
      <c r="AZ37" s="5">
        <f t="shared" si="83"/>
        <v>0.49127691035937299</v>
      </c>
      <c r="BA37" s="5">
        <f t="shared" si="83"/>
        <v>0.4173460249007736</v>
      </c>
      <c r="BB37" s="5">
        <f t="shared" si="83"/>
        <v>0.41949740049260087</v>
      </c>
      <c r="BC37" s="5">
        <f t="shared" si="83"/>
        <v>0.47896361413762351</v>
      </c>
      <c r="BD37" s="5">
        <f t="shared" si="83"/>
        <v>0.48939235439109297</v>
      </c>
      <c r="BE37" s="5">
        <f t="shared" si="83"/>
        <v>0.49602661540060983</v>
      </c>
    </row>
    <row r="38" spans="1:57" s="4" customFormat="1">
      <c r="A38" s="4" t="s">
        <v>462</v>
      </c>
      <c r="B38" s="5">
        <f t="shared" ref="B38:Q38" si="84">B25/1</f>
        <v>1.3456226849791975E-2</v>
      </c>
      <c r="C38" s="5">
        <f t="shared" si="84"/>
        <v>6.1844755641745852E-2</v>
      </c>
      <c r="D38" s="5">
        <f t="shared" si="84"/>
        <v>4.8613345085693815E-2</v>
      </c>
      <c r="E38" s="5">
        <f t="shared" si="84"/>
        <v>4.4613648246096371E-2</v>
      </c>
      <c r="F38" s="5">
        <f t="shared" si="84"/>
        <v>6.5472301406601208E-2</v>
      </c>
      <c r="G38" s="5">
        <f t="shared" si="84"/>
        <v>4.382924356477691E-2</v>
      </c>
      <c r="H38" s="5">
        <f t="shared" si="84"/>
        <v>2.6835832176481667E-2</v>
      </c>
      <c r="I38" s="5">
        <f t="shared" si="84"/>
        <v>8.3788219485602777E-2</v>
      </c>
      <c r="J38" s="5">
        <f t="shared" si="84"/>
        <v>1.8996382317684191E-2</v>
      </c>
      <c r="K38" s="5">
        <f t="shared" si="84"/>
        <v>9.8377394995843304E-2</v>
      </c>
      <c r="L38" s="5">
        <f t="shared" si="84"/>
        <v>3.6475229518069696E-2</v>
      </c>
      <c r="M38" s="5">
        <f t="shared" si="84"/>
        <v>4.8040765515519279E-2</v>
      </c>
      <c r="N38" s="5">
        <f t="shared" si="84"/>
        <v>2.7839770960210064E-2</v>
      </c>
      <c r="O38" s="5">
        <f t="shared" si="84"/>
        <v>5.5285876268632794E-2</v>
      </c>
      <c r="P38" s="5">
        <f t="shared" si="84"/>
        <v>2.2866224844341865E-2</v>
      </c>
      <c r="Q38" s="5">
        <f t="shared" si="84"/>
        <v>5.4987723667544675E-2</v>
      </c>
      <c r="R38" s="5">
        <f t="shared" ref="R38:AG38" si="85">R25/1</f>
        <v>8.0628952176167612E-2</v>
      </c>
      <c r="S38" s="5">
        <f t="shared" si="85"/>
        <v>3.7852296726982093E-2</v>
      </c>
      <c r="T38" s="5">
        <f t="shared" si="85"/>
        <v>2.4730827858998161E-2</v>
      </c>
      <c r="U38" s="5">
        <f t="shared" si="85"/>
        <v>7.6657540011072722E-2</v>
      </c>
      <c r="V38" s="5">
        <f t="shared" si="85"/>
        <v>0.10294212835834582</v>
      </c>
      <c r="W38" s="5">
        <f t="shared" si="85"/>
        <v>0</v>
      </c>
      <c r="X38" s="5">
        <f t="shared" si="85"/>
        <v>0</v>
      </c>
      <c r="Y38" s="5">
        <f t="shared" si="85"/>
        <v>0</v>
      </c>
      <c r="Z38" s="5">
        <f t="shared" si="85"/>
        <v>8.1799235575551243E-2</v>
      </c>
      <c r="AA38" s="5">
        <f t="shared" si="85"/>
        <v>8.6269837218644244E-2</v>
      </c>
      <c r="AB38" s="5">
        <f t="shared" si="85"/>
        <v>9.0818834959959377E-2</v>
      </c>
      <c r="AC38" s="5">
        <f t="shared" si="85"/>
        <v>8.1744629551288417E-2</v>
      </c>
      <c r="AD38" s="5">
        <f t="shared" si="85"/>
        <v>2.866572823034863E-2</v>
      </c>
      <c r="AE38" s="5">
        <f t="shared" si="85"/>
        <v>4.1702977783226736E-3</v>
      </c>
      <c r="AF38" s="5">
        <f t="shared" si="85"/>
        <v>5.0903848381591121E-2</v>
      </c>
      <c r="AG38" s="5">
        <f t="shared" si="85"/>
        <v>0</v>
      </c>
      <c r="AH38" s="5">
        <f t="shared" ref="AH38:AW38" si="86">AH25/1</f>
        <v>3.0657969880296676E-3</v>
      </c>
      <c r="AI38" s="5">
        <f t="shared" si="86"/>
        <v>0</v>
      </c>
      <c r="AJ38" s="5">
        <f t="shared" si="86"/>
        <v>4.8398687370529547E-2</v>
      </c>
      <c r="AK38" s="5">
        <f t="shared" si="86"/>
        <v>0</v>
      </c>
      <c r="AL38" s="5">
        <f t="shared" si="86"/>
        <v>0</v>
      </c>
      <c r="AM38" s="5">
        <f t="shared" si="86"/>
        <v>1.3456226849791975E-2</v>
      </c>
      <c r="AN38" s="5">
        <f t="shared" si="86"/>
        <v>2.0929618824867102E-2</v>
      </c>
      <c r="AO38" s="5">
        <f t="shared" si="86"/>
        <v>5.573267299156015E-2</v>
      </c>
      <c r="AP38" s="5">
        <f t="shared" si="86"/>
        <v>8.1048396844497397E-2</v>
      </c>
      <c r="AQ38" s="5">
        <f t="shared" si="86"/>
        <v>2.8410393751538976E-3</v>
      </c>
      <c r="AR38" s="5">
        <f t="shared" si="86"/>
        <v>5.1500238702087753E-2</v>
      </c>
      <c r="AS38" s="5">
        <f t="shared" si="86"/>
        <v>0</v>
      </c>
      <c r="AT38" s="5">
        <f t="shared" si="86"/>
        <v>0</v>
      </c>
      <c r="AU38" s="5">
        <f t="shared" si="86"/>
        <v>1.0208454815288093E-3</v>
      </c>
      <c r="AV38" s="5">
        <f t="shared" si="86"/>
        <v>0</v>
      </c>
      <c r="AW38" s="5">
        <f t="shared" si="86"/>
        <v>2.0174129493716553E-2</v>
      </c>
      <c r="AX38" s="5">
        <f t="shared" ref="AX38:BE38" si="87">AX25/1</f>
        <v>3.5631635913516924E-2</v>
      </c>
      <c r="AY38" s="5">
        <f t="shared" si="87"/>
        <v>0</v>
      </c>
      <c r="AZ38" s="5">
        <f t="shared" si="87"/>
        <v>3.7278562409900129E-2</v>
      </c>
      <c r="BA38" s="5">
        <f t="shared" si="87"/>
        <v>0.14590628562134267</v>
      </c>
      <c r="BB38" s="5">
        <f t="shared" si="87"/>
        <v>5.7532307361564339E-2</v>
      </c>
      <c r="BC38" s="5">
        <f t="shared" si="87"/>
        <v>5.7099620949972341E-2</v>
      </c>
      <c r="BD38" s="5">
        <f t="shared" si="87"/>
        <v>7.284398441385509E-3</v>
      </c>
      <c r="BE38" s="5">
        <f t="shared" si="87"/>
        <v>5.8584668499981341E-2</v>
      </c>
    </row>
    <row r="39" spans="1:57" s="4" customFormat="1">
      <c r="A39" s="4" t="s">
        <v>463</v>
      </c>
      <c r="B39" s="5">
        <f t="shared" ref="B39:Q39" si="88">B24/1</f>
        <v>2.5182462357127458E-3</v>
      </c>
      <c r="C39" s="5">
        <f t="shared" si="88"/>
        <v>2.2059279962958235E-3</v>
      </c>
      <c r="D39" s="5">
        <f t="shared" si="88"/>
        <v>1.1085877068744961E-3</v>
      </c>
      <c r="E39" s="5">
        <f t="shared" si="88"/>
        <v>3.6168005160742769E-3</v>
      </c>
      <c r="F39" s="5">
        <f t="shared" si="88"/>
        <v>1.6801208739695398E-3</v>
      </c>
      <c r="G39" s="5">
        <f t="shared" si="88"/>
        <v>0</v>
      </c>
      <c r="H39" s="5">
        <f t="shared" si="88"/>
        <v>0</v>
      </c>
      <c r="I39" s="5">
        <f t="shared" si="88"/>
        <v>0</v>
      </c>
      <c r="J39" s="5">
        <f t="shared" si="88"/>
        <v>8.6376933772976117E-4</v>
      </c>
      <c r="K39" s="5">
        <f t="shared" si="88"/>
        <v>0</v>
      </c>
      <c r="L39" s="5">
        <f t="shared" si="88"/>
        <v>1.9715606467471179E-3</v>
      </c>
      <c r="M39" s="5">
        <f t="shared" si="88"/>
        <v>0</v>
      </c>
      <c r="N39" s="5">
        <f t="shared" si="88"/>
        <v>2.8264512643944316E-4</v>
      </c>
      <c r="O39" s="5">
        <f t="shared" si="88"/>
        <v>1.4053512475921124E-3</v>
      </c>
      <c r="P39" s="5">
        <f t="shared" si="88"/>
        <v>0</v>
      </c>
      <c r="Q39" s="5">
        <f t="shared" si="88"/>
        <v>2.236171975832279E-3</v>
      </c>
      <c r="R39" s="5">
        <f t="shared" ref="R39:AG39" si="89">R24/1</f>
        <v>1.4017886308921189E-3</v>
      </c>
      <c r="S39" s="5">
        <f t="shared" si="89"/>
        <v>0</v>
      </c>
      <c r="T39" s="5">
        <f t="shared" si="89"/>
        <v>3.3636780098445268E-3</v>
      </c>
      <c r="U39" s="5">
        <f t="shared" si="89"/>
        <v>0</v>
      </c>
      <c r="V39" s="5">
        <f t="shared" si="89"/>
        <v>1.6657580387143143E-3</v>
      </c>
      <c r="W39" s="5">
        <f t="shared" si="89"/>
        <v>0.10660169602389143</v>
      </c>
      <c r="X39" s="5">
        <f t="shared" si="89"/>
        <v>7.134319445780736E-2</v>
      </c>
      <c r="Y39" s="5">
        <f t="shared" si="89"/>
        <v>4.7231963391879198E-2</v>
      </c>
      <c r="Z39" s="5">
        <f t="shared" si="89"/>
        <v>0.10218049535877233</v>
      </c>
      <c r="AA39" s="5">
        <f t="shared" si="89"/>
        <v>2.9754116761362991E-2</v>
      </c>
      <c r="AB39" s="5">
        <f t="shared" si="89"/>
        <v>4.4010864380079867E-2</v>
      </c>
      <c r="AC39" s="5">
        <f t="shared" si="89"/>
        <v>6.2799570060746903E-3</v>
      </c>
      <c r="AD39" s="5">
        <f t="shared" si="89"/>
        <v>2.4889883292104727E-2</v>
      </c>
      <c r="AE39" s="5">
        <f t="shared" si="89"/>
        <v>2.317976099739814E-2</v>
      </c>
      <c r="AF39" s="5">
        <f t="shared" si="89"/>
        <v>2.2318395257362091E-3</v>
      </c>
      <c r="AG39" s="5">
        <f t="shared" si="89"/>
        <v>4.5160853531454014E-3</v>
      </c>
      <c r="AH39" s="5">
        <f t="shared" ref="AH39:AW39" si="90">AH24/1</f>
        <v>1.6912016596736363E-3</v>
      </c>
      <c r="AI39" s="5">
        <f t="shared" si="90"/>
        <v>1.9790713186989906E-3</v>
      </c>
      <c r="AJ39" s="5">
        <f t="shared" si="90"/>
        <v>0</v>
      </c>
      <c r="AK39" s="5">
        <f t="shared" si="90"/>
        <v>2.8111465460215648E-3</v>
      </c>
      <c r="AL39" s="5">
        <f t="shared" si="90"/>
        <v>0.12107723933442911</v>
      </c>
      <c r="AM39" s="5">
        <f t="shared" si="90"/>
        <v>2.5182462357127458E-3</v>
      </c>
      <c r="AN39" s="5">
        <f t="shared" si="90"/>
        <v>3.6206571039751009E-3</v>
      </c>
      <c r="AO39" s="5">
        <f t="shared" si="90"/>
        <v>2.7931488851738336E-3</v>
      </c>
      <c r="AP39" s="5">
        <f t="shared" si="90"/>
        <v>2.2206564404291342E-3</v>
      </c>
      <c r="AQ39" s="5">
        <f t="shared" si="90"/>
        <v>1.676485592084445E-3</v>
      </c>
      <c r="AR39" s="5">
        <f t="shared" si="90"/>
        <v>2.8084543072473575E-3</v>
      </c>
      <c r="AS39" s="5">
        <f t="shared" si="90"/>
        <v>2.7995277965222161E-4</v>
      </c>
      <c r="AT39" s="5">
        <f t="shared" si="90"/>
        <v>6.7153223437558954E-3</v>
      </c>
      <c r="AU39" s="5">
        <f t="shared" si="90"/>
        <v>3.1096912428733182E-3</v>
      </c>
      <c r="AV39" s="5">
        <f t="shared" si="90"/>
        <v>1.3943189107655277E-3</v>
      </c>
      <c r="AW39" s="5">
        <f t="shared" si="90"/>
        <v>2.5128338150278823E-3</v>
      </c>
      <c r="AX39" s="5">
        <f t="shared" ref="AX39:BE39" si="91">AX24/1</f>
        <v>2.7972417516308745E-4</v>
      </c>
      <c r="AY39" s="5">
        <f t="shared" si="91"/>
        <v>0</v>
      </c>
      <c r="AZ39" s="5">
        <f t="shared" si="91"/>
        <v>1.1409017893415589E-3</v>
      </c>
      <c r="BA39" s="5">
        <f t="shared" si="91"/>
        <v>4.9367055371976288E-3</v>
      </c>
      <c r="BB39" s="5">
        <f t="shared" si="91"/>
        <v>2.5339911320013467E-3</v>
      </c>
      <c r="BC39" s="5">
        <f t="shared" si="91"/>
        <v>0</v>
      </c>
      <c r="BD39" s="5">
        <f t="shared" si="91"/>
        <v>5.7084291908564798E-4</v>
      </c>
      <c r="BE39" s="5">
        <f t="shared" si="91"/>
        <v>0</v>
      </c>
    </row>
    <row r="40" spans="1:57" s="4" customFormat="1">
      <c r="A40" s="4" t="s">
        <v>464</v>
      </c>
      <c r="B40" s="5">
        <f t="shared" ref="B40:Q40" si="92">B23/1</f>
        <v>3.4603735960156245E-3</v>
      </c>
      <c r="C40" s="5">
        <f t="shared" si="92"/>
        <v>3.1477957509094914E-3</v>
      </c>
      <c r="D40" s="5">
        <f t="shared" si="92"/>
        <v>2.1092303278981341E-3</v>
      </c>
      <c r="E40" s="5">
        <f t="shared" si="92"/>
        <v>0</v>
      </c>
      <c r="F40" s="5">
        <f t="shared" si="92"/>
        <v>2.3974841232244941E-3</v>
      </c>
      <c r="G40" s="5">
        <f t="shared" si="92"/>
        <v>2.7072181866380691E-3</v>
      </c>
      <c r="H40" s="5">
        <f t="shared" si="92"/>
        <v>3.2582504315039583E-3</v>
      </c>
      <c r="I40" s="5">
        <f t="shared" si="92"/>
        <v>2.4290211567924978E-3</v>
      </c>
      <c r="J40" s="5">
        <f t="shared" si="92"/>
        <v>2.1912426319846191E-3</v>
      </c>
      <c r="K40" s="5">
        <f t="shared" si="92"/>
        <v>2.9996980370154435E-3</v>
      </c>
      <c r="L40" s="5">
        <f t="shared" si="92"/>
        <v>2.4114516767982045E-3</v>
      </c>
      <c r="M40" s="5">
        <f t="shared" si="92"/>
        <v>1.8841846739546702E-3</v>
      </c>
      <c r="N40" s="5">
        <f t="shared" si="92"/>
        <v>1.882190142986665E-3</v>
      </c>
      <c r="O40" s="5">
        <f t="shared" si="92"/>
        <v>3.2086332414360888E-3</v>
      </c>
      <c r="P40" s="5">
        <f t="shared" si="92"/>
        <v>3.9987108121046595E-3</v>
      </c>
      <c r="Q40" s="5">
        <f t="shared" si="92"/>
        <v>1.8613892728114533E-3</v>
      </c>
      <c r="R40" s="5">
        <f t="shared" ref="R40:AG40" si="93">R23/1</f>
        <v>1.0668330796907131E-3</v>
      </c>
      <c r="S40" s="5">
        <f t="shared" si="93"/>
        <v>3.2104949111722227E-3</v>
      </c>
      <c r="T40" s="5">
        <f t="shared" si="93"/>
        <v>2.399935846635943E-3</v>
      </c>
      <c r="U40" s="5">
        <f t="shared" si="93"/>
        <v>4.2931597593602582E-3</v>
      </c>
      <c r="V40" s="5">
        <f t="shared" si="93"/>
        <v>2.9052084975999702E-3</v>
      </c>
      <c r="W40" s="5">
        <f t="shared" si="93"/>
        <v>5.2006000544115973E-3</v>
      </c>
      <c r="X40" s="5">
        <f t="shared" si="93"/>
        <v>3.3420729860997264E-3</v>
      </c>
      <c r="Y40" s="5">
        <f t="shared" si="93"/>
        <v>2.8243244707015281E-3</v>
      </c>
      <c r="Z40" s="5">
        <f t="shared" si="93"/>
        <v>4.5649109276009667E-3</v>
      </c>
      <c r="AA40" s="5">
        <f t="shared" si="93"/>
        <v>1.8346165235732636E-3</v>
      </c>
      <c r="AB40" s="5">
        <f t="shared" si="93"/>
        <v>2.0675633440132694E-3</v>
      </c>
      <c r="AC40" s="5">
        <f t="shared" si="93"/>
        <v>2.077986753144636E-3</v>
      </c>
      <c r="AD40" s="5">
        <f t="shared" si="93"/>
        <v>1.8213921527225189E-3</v>
      </c>
      <c r="AE40" s="5">
        <f t="shared" si="93"/>
        <v>3.2270099210822667E-3</v>
      </c>
      <c r="AF40" s="5">
        <f t="shared" si="93"/>
        <v>1.8577829418937183E-3</v>
      </c>
      <c r="AG40" s="5">
        <f t="shared" si="93"/>
        <v>2.1481079329948812E-3</v>
      </c>
      <c r="AH40" s="5">
        <f t="shared" ref="AH40:AW40" si="94">AH23/1</f>
        <v>1.3407200474738537E-3</v>
      </c>
      <c r="AI40" s="5">
        <f t="shared" si="94"/>
        <v>2.4206381162324197E-3</v>
      </c>
      <c r="AJ40" s="5">
        <f t="shared" si="94"/>
        <v>2.9383356223591835E-3</v>
      </c>
      <c r="AK40" s="5">
        <f t="shared" si="94"/>
        <v>2.6742834663717042E-3</v>
      </c>
      <c r="AL40" s="5">
        <f t="shared" si="94"/>
        <v>8.1305287154324879E-4</v>
      </c>
      <c r="AM40" s="5">
        <f t="shared" si="94"/>
        <v>3.4603735960156245E-3</v>
      </c>
      <c r="AN40" s="5">
        <f t="shared" si="94"/>
        <v>4.7691447352620131E-3</v>
      </c>
      <c r="AO40" s="5">
        <f t="shared" si="94"/>
        <v>3.4543106481937673E-3</v>
      </c>
      <c r="AP40" s="5">
        <f t="shared" si="94"/>
        <v>1.8484741430837444E-3</v>
      </c>
      <c r="AQ40" s="5">
        <f t="shared" si="94"/>
        <v>1.5948644537464162E-3</v>
      </c>
      <c r="AR40" s="5">
        <f t="shared" si="94"/>
        <v>2.1373778412402669E-3</v>
      </c>
      <c r="AS40" s="5">
        <f t="shared" si="94"/>
        <v>3.9948455784791044E-3</v>
      </c>
      <c r="AT40" s="5">
        <f t="shared" si="94"/>
        <v>2.1294603727529649E-3</v>
      </c>
      <c r="AU40" s="5">
        <f t="shared" si="94"/>
        <v>4.0340362618750871E-3</v>
      </c>
      <c r="AV40" s="5">
        <f t="shared" si="94"/>
        <v>3.4487317779593016E-3</v>
      </c>
      <c r="AW40" s="5">
        <f t="shared" si="94"/>
        <v>7.7027040051839942E-3</v>
      </c>
      <c r="AX40" s="5">
        <f t="shared" ref="AX40:BE40" si="95">AX23/1</f>
        <v>3.459372330461848E-3</v>
      </c>
      <c r="AY40" s="5">
        <f t="shared" si="95"/>
        <v>2.9388352744679205E-3</v>
      </c>
      <c r="AZ40" s="5">
        <f t="shared" si="95"/>
        <v>2.7133900190191461E-4</v>
      </c>
      <c r="BA40" s="5">
        <f t="shared" si="95"/>
        <v>2.3481788978873077E-3</v>
      </c>
      <c r="BB40" s="5">
        <f t="shared" si="95"/>
        <v>2.9463152904709309E-3</v>
      </c>
      <c r="BC40" s="5">
        <f t="shared" si="95"/>
        <v>2.699605694050331E-3</v>
      </c>
      <c r="BD40" s="5">
        <f t="shared" si="95"/>
        <v>4.3444075373917507E-3</v>
      </c>
      <c r="BE40" s="5">
        <f t="shared" si="95"/>
        <v>2.156898959626861E-3</v>
      </c>
    </row>
    <row r="41" spans="1:57" s="4" customFormat="1">
      <c r="A41" s="4" t="s">
        <v>465</v>
      </c>
      <c r="B41" s="5">
        <f t="shared" ref="B41:Q41" si="96">(1-B38-B37-B39-B40)/((B26/B27)+1)</f>
        <v>0.40399951967176057</v>
      </c>
      <c r="C41" s="5">
        <f t="shared" si="96"/>
        <v>0.44514692626984043</v>
      </c>
      <c r="D41" s="5">
        <f t="shared" si="96"/>
        <v>0.44574080421518747</v>
      </c>
      <c r="E41" s="5">
        <f t="shared" si="96"/>
        <v>0.43565263256116504</v>
      </c>
      <c r="F41" s="5">
        <f t="shared" si="96"/>
        <v>0.41502989184565031</v>
      </c>
      <c r="G41" s="5">
        <f t="shared" si="96"/>
        <v>0.42574244654004456</v>
      </c>
      <c r="H41" s="5">
        <f t="shared" si="96"/>
        <v>0.40548400405730334</v>
      </c>
      <c r="I41" s="5">
        <f t="shared" si="96"/>
        <v>0.42201426350692645</v>
      </c>
      <c r="J41" s="5">
        <f t="shared" si="96"/>
        <v>0.43090786435626843</v>
      </c>
      <c r="K41" s="5">
        <f t="shared" si="96"/>
        <v>0.44223772422016161</v>
      </c>
      <c r="L41" s="5">
        <f t="shared" si="96"/>
        <v>0.37763232577052441</v>
      </c>
      <c r="M41" s="5">
        <f t="shared" si="96"/>
        <v>0.39714213169620227</v>
      </c>
      <c r="N41" s="5">
        <f t="shared" si="96"/>
        <v>0.38978094155888882</v>
      </c>
      <c r="O41" s="5">
        <f t="shared" si="96"/>
        <v>0.3761775996624061</v>
      </c>
      <c r="P41" s="5">
        <f t="shared" si="96"/>
        <v>0.4281455341115476</v>
      </c>
      <c r="Q41" s="5">
        <f t="shared" si="96"/>
        <v>0.38539830903554551</v>
      </c>
      <c r="R41" s="5">
        <f t="shared" ref="R41:AG41" si="97">(1-R38-R37-R39-R40)/((R26/R27)+1)</f>
        <v>0.41387844134612556</v>
      </c>
      <c r="S41" s="5">
        <f t="shared" si="97"/>
        <v>0.3151347437718624</v>
      </c>
      <c r="T41" s="5">
        <f t="shared" si="97"/>
        <v>0.30969137471489128</v>
      </c>
      <c r="U41" s="5">
        <f t="shared" si="97"/>
        <v>0.32483827216552252</v>
      </c>
      <c r="V41" s="5">
        <f t="shared" si="97"/>
        <v>0.3600535698049358</v>
      </c>
      <c r="W41" s="5">
        <f t="shared" si="97"/>
        <v>0.472225231500154</v>
      </c>
      <c r="X41" s="5">
        <f t="shared" si="97"/>
        <v>0.51279791433273614</v>
      </c>
      <c r="Y41" s="5">
        <f t="shared" si="97"/>
        <v>0.49217163504014777</v>
      </c>
      <c r="Z41" s="5">
        <f t="shared" si="97"/>
        <v>0.60260475006596437</v>
      </c>
      <c r="AA41" s="5">
        <f t="shared" si="97"/>
        <v>0.56545489655201009</v>
      </c>
      <c r="AB41" s="5">
        <f t="shared" si="97"/>
        <v>0.51295351664871824</v>
      </c>
      <c r="AC41" s="5">
        <f t="shared" si="97"/>
        <v>0.52112111271743566</v>
      </c>
      <c r="AD41" s="5">
        <f t="shared" si="97"/>
        <v>0.49723215624098827</v>
      </c>
      <c r="AE41" s="5">
        <f t="shared" si="97"/>
        <v>0.51535313694341678</v>
      </c>
      <c r="AF41" s="5">
        <f t="shared" si="97"/>
        <v>0.41643369531014091</v>
      </c>
      <c r="AG41" s="5">
        <f t="shared" si="97"/>
        <v>0.41883079641222981</v>
      </c>
      <c r="AH41" s="5">
        <f t="shared" ref="AH41:AW41" si="98">(1-AH38-AH37-AH39-AH40)/((AH26/AH27)+1)</f>
        <v>0.45943062870709583</v>
      </c>
      <c r="AI41" s="5">
        <f t="shared" si="98"/>
        <v>0.41948899411518192</v>
      </c>
      <c r="AJ41" s="5">
        <f t="shared" si="98"/>
        <v>0.43503980082811311</v>
      </c>
      <c r="AK41" s="5">
        <f t="shared" si="98"/>
        <v>0.47513704042964344</v>
      </c>
      <c r="AL41" s="5">
        <f t="shared" si="98"/>
        <v>0.39649126932674417</v>
      </c>
      <c r="AM41" s="5">
        <f t="shared" si="98"/>
        <v>0.40399951967176057</v>
      </c>
      <c r="AN41" s="5">
        <f t="shared" si="98"/>
        <v>0.39593041238773441</v>
      </c>
      <c r="AO41" s="5">
        <f t="shared" si="98"/>
        <v>0.43009082212187577</v>
      </c>
      <c r="AP41" s="5">
        <f t="shared" si="98"/>
        <v>0.49997686998259561</v>
      </c>
      <c r="AQ41" s="5">
        <f t="shared" si="98"/>
        <v>0.47816117039660766</v>
      </c>
      <c r="AR41" s="5">
        <f t="shared" si="98"/>
        <v>0.4309599543487363</v>
      </c>
      <c r="AS41" s="5">
        <f t="shared" si="98"/>
        <v>0.47541661543572039</v>
      </c>
      <c r="AT41" s="5">
        <f t="shared" si="98"/>
        <v>0.45846352704442561</v>
      </c>
      <c r="AU41" s="5">
        <f t="shared" si="98"/>
        <v>0.4067486003981603</v>
      </c>
      <c r="AV41" s="5">
        <f t="shared" si="98"/>
        <v>-0.20172892494460101</v>
      </c>
      <c r="AW41" s="5">
        <f t="shared" si="98"/>
        <v>0.3429975705837206</v>
      </c>
      <c r="AX41" s="5">
        <f t="shared" ref="AX41:BE41" si="99">(1-AX38-AX37-AX39-AX40)/((AX26/AX27)+1)</f>
        <v>0.3497798382135901</v>
      </c>
      <c r="AY41" s="5">
        <f t="shared" si="99"/>
        <v>0.3514437046040999</v>
      </c>
      <c r="AZ41" s="5">
        <f t="shared" si="99"/>
        <v>0.36694359636570995</v>
      </c>
      <c r="BA41" s="5">
        <f t="shared" si="99"/>
        <v>0.375638894642426</v>
      </c>
      <c r="BB41" s="5">
        <f t="shared" si="99"/>
        <v>0.38004381350527078</v>
      </c>
      <c r="BC41" s="5">
        <f t="shared" si="99"/>
        <v>0.37345476687932794</v>
      </c>
      <c r="BD41" s="5">
        <f t="shared" si="99"/>
        <v>0.37496683767356992</v>
      </c>
      <c r="BE41" s="5">
        <f t="shared" si="99"/>
        <v>0.35393805139119655</v>
      </c>
    </row>
    <row r="42" spans="1:57" s="4" customFormat="1">
      <c r="A42" s="4" t="s">
        <v>466</v>
      </c>
      <c r="B42" s="5">
        <f t="shared" ref="B42:Q42" si="100">(B26/B27)*(1-B38-B37-B39-B40)/((B26/B27)+1)</f>
        <v>8.0568028527105373E-2</v>
      </c>
      <c r="C42" s="5">
        <f t="shared" si="100"/>
        <v>2.6761423243798575E-2</v>
      </c>
      <c r="D42" s="5">
        <f t="shared" si="100"/>
        <v>3.9869863588950442E-2</v>
      </c>
      <c r="E42" s="5">
        <f t="shared" si="100"/>
        <v>4.5157584622253236E-2</v>
      </c>
      <c r="F42" s="5">
        <f t="shared" si="100"/>
        <v>5.764139843207574E-2</v>
      </c>
      <c r="G42" s="5">
        <f t="shared" si="100"/>
        <v>0.12055807212018864</v>
      </c>
      <c r="H42" s="5">
        <f t="shared" si="100"/>
        <v>0.1451733417321199</v>
      </c>
      <c r="I42" s="5">
        <f t="shared" si="100"/>
        <v>9.4230917079832124E-2</v>
      </c>
      <c r="J42" s="5">
        <f t="shared" si="100"/>
        <v>0.13656214193862154</v>
      </c>
      <c r="K42" s="5">
        <f t="shared" si="100"/>
        <v>7.7726661665357563E-2</v>
      </c>
      <c r="L42" s="5">
        <f t="shared" si="100"/>
        <v>9.3631026488200472E-2</v>
      </c>
      <c r="M42" s="5">
        <f t="shared" si="100"/>
        <v>7.6236522434738885E-2</v>
      </c>
      <c r="N42" s="5">
        <f t="shared" si="100"/>
        <v>9.1439907223375805E-2</v>
      </c>
      <c r="O42" s="5">
        <f t="shared" si="100"/>
        <v>8.1938438345609488E-2</v>
      </c>
      <c r="P42" s="5">
        <f t="shared" si="100"/>
        <v>9.9815320665334814E-2</v>
      </c>
      <c r="Q42" s="5">
        <f t="shared" si="100"/>
        <v>7.6638474920843108E-2</v>
      </c>
      <c r="R42" s="5">
        <f t="shared" ref="R42:AG42" si="101">(R26/R27)*(1-R38-R37-R39-R40)/((R26/R27)+1)</f>
        <v>3.6287213579707552E-2</v>
      </c>
      <c r="S42" s="5">
        <f t="shared" si="101"/>
        <v>9.6832577644925255E-2</v>
      </c>
      <c r="T42" s="5">
        <f t="shared" si="101"/>
        <v>0.11356439520134474</v>
      </c>
      <c r="U42" s="5">
        <f t="shared" si="101"/>
        <v>7.5436515165109838E-2</v>
      </c>
      <c r="V42" s="5">
        <f t="shared" si="101"/>
        <v>5.2034523689932638E-2</v>
      </c>
      <c r="W42" s="5">
        <f t="shared" si="101"/>
        <v>7.2562197716399518E-2</v>
      </c>
      <c r="X42" s="5">
        <f t="shared" si="101"/>
        <v>7.7454866757692559E-2</v>
      </c>
      <c r="Y42" s="5">
        <f t="shared" si="101"/>
        <v>7.8078285317669027E-2</v>
      </c>
      <c r="Z42" s="5">
        <f t="shared" si="101"/>
        <v>3.6251711947143973E-2</v>
      </c>
      <c r="AA42" s="5">
        <f t="shared" si="101"/>
        <v>0</v>
      </c>
      <c r="AB42" s="5">
        <f t="shared" si="101"/>
        <v>0</v>
      </c>
      <c r="AC42" s="5">
        <f t="shared" si="101"/>
        <v>0</v>
      </c>
      <c r="AD42" s="5">
        <f t="shared" si="101"/>
        <v>4.7995322356104986E-2</v>
      </c>
      <c r="AE42" s="5">
        <f t="shared" si="101"/>
        <v>4.5843562334598194E-2</v>
      </c>
      <c r="AF42" s="5">
        <f t="shared" si="101"/>
        <v>5.351326449025031E-2</v>
      </c>
      <c r="AG42" s="5">
        <f t="shared" si="101"/>
        <v>9.8843829769341751E-2</v>
      </c>
      <c r="AH42" s="5">
        <f t="shared" ref="AH42:AW42" si="102">(AH26/AH27)*(1-AH38-AH37-AH39-AH40)/((AH26/AH27)+1)</f>
        <v>7.568281658642044E-2</v>
      </c>
      <c r="AI42" s="5">
        <f t="shared" si="102"/>
        <v>9.9670562183415065E-2</v>
      </c>
      <c r="AJ42" s="5">
        <f t="shared" si="102"/>
        <v>4.6396120673367264E-2</v>
      </c>
      <c r="AK42" s="5">
        <f t="shared" si="102"/>
        <v>6.8359964439800663E-2</v>
      </c>
      <c r="AL42" s="5">
        <f t="shared" si="102"/>
        <v>8.8261581695640273E-2</v>
      </c>
      <c r="AM42" s="5">
        <f t="shared" si="102"/>
        <v>8.0568028527105373E-2</v>
      </c>
      <c r="AN42" s="5">
        <f t="shared" si="102"/>
        <v>7.5598444693386863E-2</v>
      </c>
      <c r="AO42" s="5">
        <f t="shared" si="102"/>
        <v>4.4421036603127517E-2</v>
      </c>
      <c r="AP42" s="5">
        <f t="shared" si="102"/>
        <v>0</v>
      </c>
      <c r="AQ42" s="5">
        <f t="shared" si="102"/>
        <v>6.6085371301494097E-2</v>
      </c>
      <c r="AR42" s="5">
        <f t="shared" si="102"/>
        <v>5.7308840333643536E-2</v>
      </c>
      <c r="AS42" s="5">
        <f t="shared" si="102"/>
        <v>7.0792116963292878E-2</v>
      </c>
      <c r="AT42" s="5">
        <f t="shared" si="102"/>
        <v>7.7209952440862539E-2</v>
      </c>
      <c r="AU42" s="5">
        <f t="shared" si="102"/>
        <v>9.0848917364851206E-2</v>
      </c>
      <c r="AV42" s="5">
        <f t="shared" si="102"/>
        <v>-0.25117146312517752</v>
      </c>
      <c r="AW42" s="5">
        <f t="shared" si="102"/>
        <v>0.10017211003442532</v>
      </c>
      <c r="AX42" s="5">
        <f t="shared" ref="AX42:BE42" si="103">(AX26/AX27)*(1-AX38-AX37-AX39-AX40)/((AX26/AX27)+1)</f>
        <v>8.8701677317027258E-2</v>
      </c>
      <c r="AY42" s="5">
        <f t="shared" si="103"/>
        <v>0.11461861165334206</v>
      </c>
      <c r="AZ42" s="5">
        <f t="shared" si="103"/>
        <v>0.10308869007377347</v>
      </c>
      <c r="BA42" s="5">
        <f t="shared" si="103"/>
        <v>5.3823910400372821E-2</v>
      </c>
      <c r="BB42" s="5">
        <f t="shared" si="103"/>
        <v>0.13744617221809172</v>
      </c>
      <c r="BC42" s="5">
        <f t="shared" si="103"/>
        <v>8.7782392339025933E-2</v>
      </c>
      <c r="BD42" s="5">
        <f t="shared" si="103"/>
        <v>0.12344115903747424</v>
      </c>
      <c r="BE42" s="5">
        <f t="shared" si="103"/>
        <v>8.9293765748585427E-2</v>
      </c>
    </row>
    <row r="43" spans="1:57" s="4" customFormat="1">
      <c r="A43" s="4" t="s">
        <v>467</v>
      </c>
      <c r="B43" s="5">
        <f t="shared" ref="B43:Q43" si="104">B27-((1-B38-B37-B39-B40)/((B26/B27)+1))</f>
        <v>3.1698855568016604E-2</v>
      </c>
      <c r="C43" s="5">
        <f t="shared" si="104"/>
        <v>-8.4995642947217065E-3</v>
      </c>
      <c r="D43" s="5">
        <f t="shared" si="104"/>
        <v>7.2395568760383888E-3</v>
      </c>
      <c r="E43" s="5">
        <f t="shared" si="104"/>
        <v>2.8151521641280874E-3</v>
      </c>
      <c r="F43" s="5">
        <f t="shared" si="104"/>
        <v>9.3898091086381807E-3</v>
      </c>
      <c r="G43" s="5">
        <f t="shared" si="104"/>
        <v>2.9724856070104444E-2</v>
      </c>
      <c r="H43" s="5">
        <f t="shared" si="104"/>
        <v>2.3886653934550861E-2</v>
      </c>
      <c r="I43" s="5">
        <f t="shared" si="104"/>
        <v>2.9381512289469502E-2</v>
      </c>
      <c r="J43" s="5">
        <f t="shared" si="104"/>
        <v>3.9685539098159028E-2</v>
      </c>
      <c r="K43" s="5">
        <f t="shared" si="104"/>
        <v>1.6017011614950227E-2</v>
      </c>
      <c r="L43" s="5">
        <f t="shared" si="104"/>
        <v>2.3242940645407273E-2</v>
      </c>
      <c r="M43" s="5">
        <f t="shared" si="104"/>
        <v>1.9975392258945512E-2</v>
      </c>
      <c r="N43" s="5">
        <f t="shared" si="104"/>
        <v>2.0501031821810567E-2</v>
      </c>
      <c r="O43" s="5">
        <f t="shared" si="104"/>
        <v>1.4332774934935899E-2</v>
      </c>
      <c r="P43" s="5">
        <f t="shared" si="104"/>
        <v>2.5637398674617118E-2</v>
      </c>
      <c r="Q43" s="5">
        <f t="shared" si="104"/>
        <v>2.5091973196802009E-2</v>
      </c>
      <c r="R43" s="5">
        <f t="shared" ref="R43:AG43" si="105">R27-((1-R38-R37-R39-R40)/((R26/R27)+1))</f>
        <v>9.4673573697577895E-3</v>
      </c>
      <c r="S43" s="5">
        <f t="shared" si="105"/>
        <v>1.6753087267459554E-2</v>
      </c>
      <c r="T43" s="5">
        <f t="shared" si="105"/>
        <v>2.63869430678213E-2</v>
      </c>
      <c r="U43" s="5">
        <f t="shared" si="105"/>
        <v>1.7057945358294413E-2</v>
      </c>
      <c r="V43" s="5">
        <f t="shared" si="105"/>
        <v>4.7370434569049547E-3</v>
      </c>
      <c r="W43" s="5">
        <f t="shared" si="105"/>
        <v>4.1516535010813371E-2</v>
      </c>
      <c r="X43" s="5">
        <f t="shared" si="105"/>
        <v>3.2310155341836344E-2</v>
      </c>
      <c r="Y43" s="5">
        <f t="shared" si="105"/>
        <v>1.3576795826098997E-2</v>
      </c>
      <c r="Z43" s="5">
        <f t="shared" si="105"/>
        <v>-6.6302678513938673E-3</v>
      </c>
      <c r="AA43" s="5">
        <f t="shared" si="105"/>
        <v>8.4445349885995391E-3</v>
      </c>
      <c r="AB43" s="5">
        <f t="shared" si="105"/>
        <v>5.3397959780804305E-3</v>
      </c>
      <c r="AC43" s="5">
        <f t="shared" si="105"/>
        <v>1.6771195526574578E-2</v>
      </c>
      <c r="AD43" s="5">
        <f t="shared" si="105"/>
        <v>2.715570502450293E-2</v>
      </c>
      <c r="AE43" s="5">
        <f t="shared" si="105"/>
        <v>2.6072752147160094E-2</v>
      </c>
      <c r="AF43" s="5">
        <f t="shared" si="105"/>
        <v>2.113527107194646E-2</v>
      </c>
      <c r="AG43" s="5">
        <f t="shared" si="105"/>
        <v>2.6535989796058757E-2</v>
      </c>
      <c r="AH43" s="5">
        <f t="shared" ref="AH43:AW43" si="106">AH27-((1-AH38-AH37-AH39-AH40)/((AH26/AH27)+1))</f>
        <v>2.5175824642917788E-2</v>
      </c>
      <c r="AI43" s="5">
        <f t="shared" si="106"/>
        <v>2.2354174339123678E-2</v>
      </c>
      <c r="AJ43" s="5">
        <f t="shared" si="106"/>
        <v>8.0180422941349416E-3</v>
      </c>
      <c r="AK43" s="5">
        <f t="shared" si="106"/>
        <v>2.3014581656946864E-2</v>
      </c>
      <c r="AL43" s="5">
        <f t="shared" si="106"/>
        <v>2.4564722390051308E-2</v>
      </c>
      <c r="AM43" s="5">
        <f t="shared" si="106"/>
        <v>3.1698855568016604E-2</v>
      </c>
      <c r="AN43" s="5">
        <f t="shared" si="106"/>
        <v>3.1453980219755651E-2</v>
      </c>
      <c r="AO43" s="5">
        <f t="shared" si="106"/>
        <v>2.5906389425610965E-2</v>
      </c>
      <c r="AP43" s="5">
        <f t="shared" si="106"/>
        <v>8.1367375693172095E-3</v>
      </c>
      <c r="AQ43" s="5">
        <f t="shared" si="106"/>
        <v>3.3833038839574447E-2</v>
      </c>
      <c r="AR43" s="5">
        <f t="shared" si="106"/>
        <v>1.9594338115759724E-2</v>
      </c>
      <c r="AS43" s="5">
        <f t="shared" si="106"/>
        <v>3.1759018514977033E-2</v>
      </c>
      <c r="AT43" s="5">
        <f t="shared" si="106"/>
        <v>3.8949922879101984E-2</v>
      </c>
      <c r="AU43" s="5">
        <f t="shared" si="106"/>
        <v>2.652810483375978E-2</v>
      </c>
      <c r="AV43" s="5">
        <f t="shared" si="106"/>
        <v>0.21855149326321813</v>
      </c>
      <c r="AW43" s="5">
        <f t="shared" si="106"/>
        <v>2.2813017778237132E-2</v>
      </c>
      <c r="AX43" s="5">
        <f t="shared" ref="AX43:BE43" si="107">AX27-((1-AX38-AX37-AX39-AX40)/((AX26/AX27)+1))</f>
        <v>2.1985870136437879E-2</v>
      </c>
      <c r="AY43" s="5">
        <f t="shared" si="107"/>
        <v>3.6628724754622033E-2</v>
      </c>
      <c r="AZ43" s="5">
        <f t="shared" si="107"/>
        <v>2.0199015276486099E-2</v>
      </c>
      <c r="BA43" s="5">
        <f t="shared" si="107"/>
        <v>2.3507515527887102E-2</v>
      </c>
      <c r="BB43" s="5">
        <f t="shared" si="107"/>
        <v>3.8209131720194522E-2</v>
      </c>
      <c r="BC43" s="5">
        <f t="shared" si="107"/>
        <v>2.3490380085773976E-2</v>
      </c>
      <c r="BD43" s="5">
        <f t="shared" si="107"/>
        <v>2.4817380057297889E-2</v>
      </c>
      <c r="BE43" s="5">
        <f t="shared" si="107"/>
        <v>2.1124049506864861E-2</v>
      </c>
    </row>
    <row r="44" spans="1:57" s="4" customFormat="1">
      <c r="A44" s="4" t="s">
        <v>468</v>
      </c>
      <c r="B44" s="5">
        <f t="shared" ref="B44:Q44" si="108">(B26/B27)*(B27-((1-B38-B37-B39-B40)/((B26/B27)+1)))</f>
        <v>6.3215775646355858E-3</v>
      </c>
      <c r="C44" s="5">
        <f t="shared" si="108"/>
        <v>-5.1097834008415304E-4</v>
      </c>
      <c r="D44" s="5">
        <f t="shared" si="108"/>
        <v>6.4755154197809045E-4</v>
      </c>
      <c r="E44" s="5">
        <f t="shared" si="108"/>
        <v>2.9180466861585002E-4</v>
      </c>
      <c r="F44" s="5">
        <f t="shared" si="108"/>
        <v>1.3041030023770801E-3</v>
      </c>
      <c r="G44" s="5">
        <f t="shared" si="108"/>
        <v>8.4172282350165311E-3</v>
      </c>
      <c r="H44" s="5">
        <f t="shared" si="108"/>
        <v>8.5520152207715187E-3</v>
      </c>
      <c r="I44" s="5">
        <f t="shared" si="108"/>
        <v>6.5605527766329341E-3</v>
      </c>
      <c r="J44" s="5">
        <f t="shared" si="108"/>
        <v>1.2577032520234323E-2</v>
      </c>
      <c r="K44" s="5">
        <f t="shared" si="108"/>
        <v>2.8151122676851486E-3</v>
      </c>
      <c r="L44" s="5">
        <f t="shared" si="108"/>
        <v>5.7629081059025825E-3</v>
      </c>
      <c r="M44" s="5">
        <f t="shared" si="108"/>
        <v>3.8345325729800218E-3</v>
      </c>
      <c r="N44" s="5">
        <f t="shared" si="108"/>
        <v>4.8093999677678275E-3</v>
      </c>
      <c r="O44" s="5">
        <f t="shared" si="108"/>
        <v>3.1219434553830193E-3</v>
      </c>
      <c r="P44" s="5">
        <f t="shared" si="108"/>
        <v>5.9769516807927801E-3</v>
      </c>
      <c r="Q44" s="5">
        <f t="shared" si="108"/>
        <v>4.9896704616319886E-3</v>
      </c>
      <c r="R44" s="5">
        <f t="shared" ref="R44:AG44" si="109">(R26/R27)*(R27-((1-R38-R37-R39-R40)/((R26/R27)+1)))</f>
        <v>8.3006019302299004E-4</v>
      </c>
      <c r="S44" s="5">
        <f t="shared" si="109"/>
        <v>5.147780927617706E-3</v>
      </c>
      <c r="T44" s="5">
        <f t="shared" si="109"/>
        <v>9.6761404267981122E-3</v>
      </c>
      <c r="U44" s="5">
        <f t="shared" si="109"/>
        <v>3.9613311114119641E-3</v>
      </c>
      <c r="V44" s="5">
        <f t="shared" si="109"/>
        <v>6.845920181046966E-4</v>
      </c>
      <c r="W44" s="5">
        <f t="shared" si="109"/>
        <v>6.3794368047304989E-3</v>
      </c>
      <c r="X44" s="5">
        <f t="shared" si="109"/>
        <v>4.8802436729460828E-3</v>
      </c>
      <c r="Y44" s="5">
        <f t="shared" si="109"/>
        <v>2.1538277762053969E-3</v>
      </c>
      <c r="Z44" s="5">
        <f t="shared" si="109"/>
        <v>-3.9886602330105878E-4</v>
      </c>
      <c r="AA44" s="5">
        <f t="shared" si="109"/>
        <v>0</v>
      </c>
      <c r="AB44" s="5">
        <f t="shared" si="109"/>
        <v>0</v>
      </c>
      <c r="AC44" s="5">
        <f t="shared" si="109"/>
        <v>0</v>
      </c>
      <c r="AD44" s="5">
        <f t="shared" si="109"/>
        <v>2.621203798063773E-3</v>
      </c>
      <c r="AE44" s="5">
        <f t="shared" si="109"/>
        <v>2.3193180609747547E-3</v>
      </c>
      <c r="AF44" s="5">
        <f t="shared" si="109"/>
        <v>2.7159602205193236E-3</v>
      </c>
      <c r="AG44" s="5">
        <f t="shared" si="109"/>
        <v>6.2624785011774573E-3</v>
      </c>
      <c r="AH44" s="5">
        <f t="shared" ref="AH44:AW44" si="110">(AH26/AH27)*(AH27-((1-AH38-AH37-AH39-AH40)/((AH26/AH27)+1)))</f>
        <v>4.1472579314614649E-3</v>
      </c>
      <c r="AI44" s="5">
        <f t="shared" si="110"/>
        <v>5.3113506070072399E-3</v>
      </c>
      <c r="AJ44" s="5">
        <f t="shared" si="110"/>
        <v>8.551081007639325E-4</v>
      </c>
      <c r="AK44" s="5">
        <f t="shared" si="110"/>
        <v>3.3112046626445689E-3</v>
      </c>
      <c r="AL44" s="5">
        <f t="shared" si="110"/>
        <v>5.4682698454918861E-3</v>
      </c>
      <c r="AM44" s="5">
        <f t="shared" si="110"/>
        <v>6.3215775646355858E-3</v>
      </c>
      <c r="AN44" s="5">
        <f t="shared" si="110"/>
        <v>6.0057826063167723E-3</v>
      </c>
      <c r="AO44" s="5">
        <f t="shared" si="110"/>
        <v>2.6756875844326641E-3</v>
      </c>
      <c r="AP44" s="5">
        <f t="shared" si="110"/>
        <v>0</v>
      </c>
      <c r="AQ44" s="5">
        <f t="shared" si="110"/>
        <v>4.6759734424203061E-3</v>
      </c>
      <c r="AR44" s="5">
        <f t="shared" si="110"/>
        <v>2.6056453347654126E-3</v>
      </c>
      <c r="AS44" s="5">
        <f t="shared" si="110"/>
        <v>4.7290904027219947E-3</v>
      </c>
      <c r="AT44" s="5">
        <f t="shared" si="110"/>
        <v>6.5595658447641673E-3</v>
      </c>
      <c r="AU44" s="5">
        <f t="shared" si="110"/>
        <v>5.92515770559306E-3</v>
      </c>
      <c r="AV44" s="5">
        <f t="shared" si="110"/>
        <v>0.27211714109015295</v>
      </c>
      <c r="AW44" s="5">
        <f t="shared" si="110"/>
        <v>6.6625198633617749E-3</v>
      </c>
      <c r="AX44" s="5">
        <f t="shared" ref="AX44:BE44" si="111">(AX26/AX27)*(AX27-((1-AX38-AX37-AX39-AX40)/((AX26/AX27)+1)))</f>
        <v>5.575460176139471E-3</v>
      </c>
      <c r="AY44" s="5">
        <f t="shared" si="111"/>
        <v>1.1945963245341348E-2</v>
      </c>
      <c r="AZ44" s="5">
        <f t="shared" si="111"/>
        <v>5.674686917162608E-3</v>
      </c>
      <c r="BA44" s="5">
        <f t="shared" si="111"/>
        <v>3.3683051131134503E-3</v>
      </c>
      <c r="BB44" s="5">
        <f t="shared" si="111"/>
        <v>1.3818666985470537E-2</v>
      </c>
      <c r="BC44" s="5">
        <f t="shared" si="111"/>
        <v>5.5215301657899245E-3</v>
      </c>
      <c r="BD44" s="5">
        <f t="shared" si="111"/>
        <v>8.1700189210153311E-3</v>
      </c>
      <c r="BE44" s="5">
        <f t="shared" si="111"/>
        <v>5.3293109370789416E-3</v>
      </c>
    </row>
    <row r="45" spans="1:57" s="7" customFormat="1">
      <c r="A45" s="4" t="s">
        <v>469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 spans="1:57" s="7" customFormat="1">
      <c r="A46" s="51" t="s">
        <v>470</v>
      </c>
      <c r="B46" s="5">
        <f t="shared" ref="B46:Q46" si="112">IF((B22)&gt;(B31+B32),(B31+B32)/(B30+B31+B32),(B22)/(B30+B31+B32))</f>
        <v>0.51441224072969294</v>
      </c>
      <c r="C46" s="5">
        <f t="shared" si="112"/>
        <v>0.46453043845758296</v>
      </c>
      <c r="D46" s="5">
        <f t="shared" si="112"/>
        <v>0.46693422051499789</v>
      </c>
      <c r="E46" s="5">
        <f t="shared" si="112"/>
        <v>0.47270985197840659</v>
      </c>
      <c r="F46" s="5">
        <f t="shared" si="112"/>
        <v>0.46357070638609682</v>
      </c>
      <c r="G46" s="5">
        <f t="shared" si="112"/>
        <v>0.42371186149485152</v>
      </c>
      <c r="H46" s="5">
        <f t="shared" si="112"/>
        <v>0.43395948935712203</v>
      </c>
      <c r="I46" s="5">
        <f t="shared" si="112"/>
        <v>0.41377399682970001</v>
      </c>
      <c r="J46" s="5">
        <f t="shared" si="112"/>
        <v>0.43399328730647585</v>
      </c>
      <c r="K46" s="5">
        <f t="shared" si="112"/>
        <v>0.38711368663588241</v>
      </c>
      <c r="L46" s="5">
        <f t="shared" si="112"/>
        <v>0.5027649805495874</v>
      </c>
      <c r="M46" s="5">
        <f t="shared" si="112"/>
        <v>0.48923496084197177</v>
      </c>
      <c r="N46" s="5">
        <f t="shared" si="112"/>
        <v>0.50146688846328125</v>
      </c>
      <c r="O46" s="5">
        <f t="shared" si="112"/>
        <v>0.49190340247522385</v>
      </c>
      <c r="P46" s="5">
        <f t="shared" si="112"/>
        <v>0.45999280994115777</v>
      </c>
      <c r="Q46" s="5">
        <f t="shared" si="112"/>
        <v>0.49464658925711458</v>
      </c>
      <c r="R46" s="5">
        <f t="shared" ref="R46:AG46" si="113">IF((R22)&gt;(R31+R32),(R31+R32)/(R30+R31+R32),(R22)/(R30+R31+R32))</f>
        <v>0.47173614219848597</v>
      </c>
      <c r="S46" s="5">
        <f t="shared" si="113"/>
        <v>0.55921722978704014</v>
      </c>
      <c r="T46" s="5">
        <f t="shared" si="113"/>
        <v>0.56822604816722588</v>
      </c>
      <c r="U46" s="5">
        <f t="shared" si="113"/>
        <v>0.53104389156477849</v>
      </c>
      <c r="V46" s="5">
        <f t="shared" si="113"/>
        <v>0.48315477120617062</v>
      </c>
      <c r="W46" s="5">
        <f t="shared" si="113"/>
        <v>0.36090769982935528</v>
      </c>
      <c r="X46" s="5">
        <f t="shared" si="113"/>
        <v>0.34810377811851839</v>
      </c>
      <c r="Y46" s="5">
        <f t="shared" si="113"/>
        <v>0.38653985644175975</v>
      </c>
      <c r="Z46" s="5">
        <f t="shared" si="113"/>
        <v>0.17139414374325709</v>
      </c>
      <c r="AA46" s="5">
        <f t="shared" si="113"/>
        <v>0.3199406468235248</v>
      </c>
      <c r="AB46" s="5">
        <f t="shared" si="113"/>
        <v>0.35293772283831942</v>
      </c>
      <c r="AC46" s="5">
        <f t="shared" si="113"/>
        <v>0.39586109106718709</v>
      </c>
      <c r="AD46" s="5">
        <f t="shared" si="113"/>
        <v>0.41313818261553986</v>
      </c>
      <c r="AE46" s="5">
        <f t="shared" si="113"/>
        <v>0.42028632848215114</v>
      </c>
      <c r="AF46" s="5">
        <f t="shared" si="113"/>
        <v>0.48666718084312943</v>
      </c>
      <c r="AG46" s="5">
        <f t="shared" si="113"/>
        <v>0.48215088803673589</v>
      </c>
      <c r="AH46" s="5">
        <f t="shared" ref="AH46:AW46" si="114">IF((AH22)&gt;(AH31+AH32),(AH31+AH32)/(AH30+AH31+AH32),(AH22)/(AH30+AH31+AH32))</f>
        <v>0.47264834238366604</v>
      </c>
      <c r="AI46" s="5">
        <f t="shared" si="114"/>
        <v>0.47781267455675108</v>
      </c>
      <c r="AJ46" s="5">
        <f t="shared" si="114"/>
        <v>0.47155308839427562</v>
      </c>
      <c r="AK46" s="5">
        <f t="shared" si="114"/>
        <v>0.45247845272801807</v>
      </c>
      <c r="AL46" s="5">
        <f t="shared" si="114"/>
        <v>0.40630350736814985</v>
      </c>
      <c r="AM46" s="5">
        <f t="shared" si="114"/>
        <v>0.51441224072969294</v>
      </c>
      <c r="AN46" s="5">
        <f t="shared" si="114"/>
        <v>0.51782063777039011</v>
      </c>
      <c r="AO46" s="5">
        <f t="shared" si="114"/>
        <v>0.4787235245245105</v>
      </c>
      <c r="AP46" s="5">
        <f t="shared" si="114"/>
        <v>0.42247706680177421</v>
      </c>
      <c r="AQ46" s="5">
        <f t="shared" si="114"/>
        <v>0.4544734924417706</v>
      </c>
      <c r="AR46" s="5">
        <f t="shared" si="114"/>
        <v>0.46562193368914551</v>
      </c>
      <c r="AS46" s="5">
        <f t="shared" si="114"/>
        <v>0.4552345302146143</v>
      </c>
      <c r="AT46" s="5">
        <f t="shared" si="114"/>
        <v>0.46693908290752645</v>
      </c>
      <c r="AU46" s="5">
        <f t="shared" si="114"/>
        <v>0.50196056336224626</v>
      </c>
      <c r="AV46" s="5">
        <f t="shared" si="114"/>
        <v>0.96491730887769545</v>
      </c>
      <c r="AW46" s="5">
        <f t="shared" si="114"/>
        <v>0.55088192455389928</v>
      </c>
      <c r="AX46" s="5">
        <f t="shared" ref="AX46:BE46" si="115">IF((AX22)&gt;(AX31+AX32),(AX31+AX32)/(AX30+AX31+AX32),(AX22)/(AX30+AX31+AX32))</f>
        <v>0.53810767067423448</v>
      </c>
      <c r="AY46" s="5">
        <f t="shared" si="115"/>
        <v>0.53790782311517849</v>
      </c>
      <c r="AZ46" s="5">
        <f t="shared" si="115"/>
        <v>0.50828349031930098</v>
      </c>
      <c r="BA46" s="5">
        <f t="shared" si="115"/>
        <v>0.43029510196217025</v>
      </c>
      <c r="BB46" s="5">
        <f t="shared" si="115"/>
        <v>0.44448681820278974</v>
      </c>
      <c r="BC46" s="5">
        <f t="shared" si="115"/>
        <v>0.49459802561903227</v>
      </c>
      <c r="BD46" s="5">
        <f t="shared" si="115"/>
        <v>0.50700033759851715</v>
      </c>
      <c r="BE46" s="5">
        <f t="shared" si="115"/>
        <v>0.50982277209560956</v>
      </c>
    </row>
    <row r="47" spans="1:57" s="7" customFormat="1">
      <c r="A47" s="51" t="s">
        <v>471</v>
      </c>
      <c r="B47" s="5">
        <f t="shared" ref="B47:Q47" si="116">IF(B31+B32&gt;B22,IF(B25+B24&gt;B31+B32-(B22),(B31+B32-(B22))/(B30+B31+B32),(B25+B24))/(B30+B31+B32),0)</f>
        <v>0</v>
      </c>
      <c r="C47" s="5">
        <f t="shared" si="116"/>
        <v>4.8418682292095616E-2</v>
      </c>
      <c r="D47" s="5">
        <f t="shared" si="116"/>
        <v>3.819559777212185E-2</v>
      </c>
      <c r="E47" s="5">
        <f t="shared" si="116"/>
        <v>3.6523001717608465E-2</v>
      </c>
      <c r="F47" s="5">
        <f t="shared" si="116"/>
        <v>4.3483746865099447E-2</v>
      </c>
      <c r="G47" s="5">
        <f t="shared" si="116"/>
        <v>4.7091112414066723E-2</v>
      </c>
      <c r="H47" s="5">
        <f t="shared" si="116"/>
        <v>2.7777468586865982E-2</v>
      </c>
      <c r="I47" s="5">
        <f t="shared" si="116"/>
        <v>7.1115446980512823E-2</v>
      </c>
      <c r="J47" s="5">
        <f t="shared" si="116"/>
        <v>2.0997860827738808E-2</v>
      </c>
      <c r="K47" s="5">
        <f t="shared" si="116"/>
        <v>8.0402046859677223E-2</v>
      </c>
      <c r="L47" s="5">
        <f t="shared" si="116"/>
        <v>3.2821175557976499E-2</v>
      </c>
      <c r="M47" s="5">
        <f t="shared" si="116"/>
        <v>4.5128448313946308E-2</v>
      </c>
      <c r="N47" s="5">
        <f t="shared" si="116"/>
        <v>2.7178715822835837E-2</v>
      </c>
      <c r="O47" s="5">
        <f t="shared" si="116"/>
        <v>4.0805909724223155E-2</v>
      </c>
      <c r="P47" s="5">
        <f t="shared" si="116"/>
        <v>2.1482854777351807E-2</v>
      </c>
      <c r="Q47" s="5">
        <f t="shared" si="116"/>
        <v>3.6929265608731221E-2</v>
      </c>
      <c r="R47" s="5">
        <f t="shared" ref="R47:AG47" si="117">IF(R31+R32&gt;R22,IF(R25+R24&gt;R31+R32-(R22),(R31+R32-(R22))/(R30+R31+R32),(R25+R24))/(R30+R31+R32),0)</f>
        <v>5.0254030464543457E-2</v>
      </c>
      <c r="S47" s="5">
        <f t="shared" si="117"/>
        <v>1.8742658787163857E-2</v>
      </c>
      <c r="T47" s="5">
        <f t="shared" si="117"/>
        <v>9.2594777316756128E-3</v>
      </c>
      <c r="U47" s="5">
        <f t="shared" si="117"/>
        <v>4.9814270011920132E-2</v>
      </c>
      <c r="V47" s="5">
        <f t="shared" si="117"/>
        <v>7.7909959785007643E-2</v>
      </c>
      <c r="W47" s="5">
        <f t="shared" si="117"/>
        <v>6.8914340440080532E-2</v>
      </c>
      <c r="X47" s="5">
        <f t="shared" si="117"/>
        <v>5.0645174696668897E-2</v>
      </c>
      <c r="Y47" s="5">
        <f t="shared" si="117"/>
        <v>3.8014991998343108E-2</v>
      </c>
      <c r="Z47" s="5">
        <f t="shared" si="117"/>
        <v>0.13357234650399674</v>
      </c>
      <c r="AA47" s="5">
        <f t="shared" si="117"/>
        <v>9.6305945029609027E-2</v>
      </c>
      <c r="AB47" s="5">
        <f t="shared" si="117"/>
        <v>0.11948498223958955</v>
      </c>
      <c r="AC47" s="5">
        <f t="shared" si="117"/>
        <v>3.1559676862381848E-2</v>
      </c>
      <c r="AD47" s="5">
        <f t="shared" si="117"/>
        <v>3.4661276007104835E-2</v>
      </c>
      <c r="AE47" s="5">
        <f t="shared" si="117"/>
        <v>9.1949338449322238E-3</v>
      </c>
      <c r="AF47" s="5">
        <f t="shared" si="117"/>
        <v>2.4680248413464723E-2</v>
      </c>
      <c r="AG47" s="5">
        <f t="shared" si="117"/>
        <v>0</v>
      </c>
      <c r="AH47" s="5">
        <f t="shared" ref="AH47:AW47" si="118">IF(AH31+AH32&gt;AH22,IF(AH25+AH24&gt;AH31+AH32-(AH22),(AH31+AH32-(AH22))/(AH30+AH31+AH32),(AH25+AH24))/(AH30+AH31+AH32),0)</f>
        <v>3.1978962307224502E-3</v>
      </c>
      <c r="AI47" s="5">
        <f t="shared" si="118"/>
        <v>0</v>
      </c>
      <c r="AJ47" s="5">
        <f t="shared" si="118"/>
        <v>4.4110920329645441E-2</v>
      </c>
      <c r="AK47" s="5">
        <f t="shared" si="118"/>
        <v>0</v>
      </c>
      <c r="AL47" s="5">
        <f t="shared" si="118"/>
        <v>0.10610375867349818</v>
      </c>
      <c r="AM47" s="5">
        <f t="shared" si="118"/>
        <v>0</v>
      </c>
      <c r="AN47" s="5">
        <f t="shared" si="118"/>
        <v>0</v>
      </c>
      <c r="AO47" s="5">
        <f t="shared" si="118"/>
        <v>1.9047079193788691E-2</v>
      </c>
      <c r="AP47" s="5">
        <f t="shared" si="118"/>
        <v>4.5060442767712164E-2</v>
      </c>
      <c r="AQ47" s="5">
        <f t="shared" si="118"/>
        <v>0</v>
      </c>
      <c r="AR47" s="5">
        <f t="shared" si="118"/>
        <v>4.6851568483913565E-2</v>
      </c>
      <c r="AS47" s="5">
        <f t="shared" si="118"/>
        <v>0</v>
      </c>
      <c r="AT47" s="5">
        <f t="shared" si="118"/>
        <v>0</v>
      </c>
      <c r="AU47" s="5">
        <f t="shared" si="118"/>
        <v>0</v>
      </c>
      <c r="AV47" s="5">
        <f t="shared" si="118"/>
        <v>0</v>
      </c>
      <c r="AW47" s="5">
        <f t="shared" si="118"/>
        <v>1.0418435080427496E-2</v>
      </c>
      <c r="AX47" s="5">
        <f t="shared" ref="AX47:BE47" si="119">IF(AX31+AX32&gt;AX22,IF(AX25+AX24&gt;AX31+AX32-(AX22),(AX31+AX32-(AX22))/(AX30+AX31+AX32),(AX25+AX24))/(AX30+AX31+AX32),0)</f>
        <v>2.5427948784042281E-2</v>
      </c>
      <c r="AY47" s="5">
        <f t="shared" si="119"/>
        <v>0</v>
      </c>
      <c r="AZ47" s="5">
        <f t="shared" si="119"/>
        <v>3.9749434479025521E-2</v>
      </c>
      <c r="BA47" s="5">
        <f t="shared" si="119"/>
        <v>0.13769463973473453</v>
      </c>
      <c r="BB47" s="5">
        <f t="shared" si="119"/>
        <v>6.4201100278723833E-2</v>
      </c>
      <c r="BC47" s="5">
        <f t="shared" si="119"/>
        <v>5.8963476455931141E-2</v>
      </c>
      <c r="BD47" s="5">
        <f t="shared" si="119"/>
        <v>6.6914329098693029E-3</v>
      </c>
      <c r="BE47" s="5">
        <f t="shared" si="119"/>
        <v>6.0214103779170115E-2</v>
      </c>
    </row>
    <row r="48" spans="1:57" s="7" customFormat="1">
      <c r="A48" s="53" t="s">
        <v>472</v>
      </c>
      <c r="B48" s="5">
        <f t="shared" ref="B48:Q48" si="120">B30/(B30+B31+B32)</f>
        <v>0.48558775927030717</v>
      </c>
      <c r="C48" s="5">
        <f t="shared" si="120"/>
        <v>0.48742999691009931</v>
      </c>
      <c r="D48" s="5">
        <f t="shared" si="120"/>
        <v>0.49522814626821493</v>
      </c>
      <c r="E48" s="5">
        <f t="shared" si="120"/>
        <v>0.49090239664598062</v>
      </c>
      <c r="F48" s="5">
        <f t="shared" si="120"/>
        <v>0.49348883743432365</v>
      </c>
      <c r="G48" s="5">
        <f t="shared" si="120"/>
        <v>0.53103625563682133</v>
      </c>
      <c r="H48" s="5">
        <f t="shared" si="120"/>
        <v>0.529760327401401</v>
      </c>
      <c r="I48" s="5">
        <f t="shared" si="120"/>
        <v>0.517901113683648</v>
      </c>
      <c r="J48" s="5">
        <f t="shared" si="120"/>
        <v>0.53762092564597697</v>
      </c>
      <c r="K48" s="5">
        <f t="shared" si="120"/>
        <v>0.53424037237351396</v>
      </c>
      <c r="L48" s="5">
        <f t="shared" si="120"/>
        <v>0.46538565954973993</v>
      </c>
      <c r="M48" s="5">
        <f t="shared" si="120"/>
        <v>0.46679318437306438</v>
      </c>
      <c r="N48" s="5">
        <f t="shared" si="120"/>
        <v>0.47204230074684517</v>
      </c>
      <c r="O48" s="5">
        <f t="shared" si="120"/>
        <v>0.46811354470482891</v>
      </c>
      <c r="P48" s="5">
        <f t="shared" si="120"/>
        <v>0.51921640227247112</v>
      </c>
      <c r="Q48" s="5">
        <f t="shared" si="120"/>
        <v>0.46960139971755122</v>
      </c>
      <c r="R48" s="5">
        <f t="shared" ref="R48:AG48" si="121">R30/(R30+R31+R32)</f>
        <v>0.47854241011072834</v>
      </c>
      <c r="S48" s="5">
        <f t="shared" si="121"/>
        <v>0.42245059192551898</v>
      </c>
      <c r="T48" s="5">
        <f t="shared" si="121"/>
        <v>0.42287258631522556</v>
      </c>
      <c r="U48" s="5">
        <f t="shared" si="121"/>
        <v>0.42029276050610304</v>
      </c>
      <c r="V48" s="5">
        <f t="shared" si="121"/>
        <v>0.43937967464044575</v>
      </c>
      <c r="W48" s="5">
        <f t="shared" si="121"/>
        <v>0.57351904531118458</v>
      </c>
      <c r="X48" s="5">
        <f t="shared" si="121"/>
        <v>0.60314848591060721</v>
      </c>
      <c r="Y48" s="5">
        <f t="shared" si="121"/>
        <v>0.57611844071498652</v>
      </c>
      <c r="Z48" s="5">
        <f t="shared" si="121"/>
        <v>0.69409461184721244</v>
      </c>
      <c r="AA48" s="5">
        <f t="shared" si="121"/>
        <v>0.58473293517937552</v>
      </c>
      <c r="AB48" s="5">
        <f t="shared" si="121"/>
        <v>0.52852132586814093</v>
      </c>
      <c r="AC48" s="5">
        <f t="shared" si="121"/>
        <v>0.57314405968499038</v>
      </c>
      <c r="AD48" s="5">
        <f t="shared" si="121"/>
        <v>0.553353517114756</v>
      </c>
      <c r="AE48" s="5">
        <f t="shared" si="121"/>
        <v>0.57078258586775532</v>
      </c>
      <c r="AF48" s="5">
        <f t="shared" si="121"/>
        <v>0.48924122505667089</v>
      </c>
      <c r="AG48" s="5">
        <f t="shared" si="121"/>
        <v>0.51784911196326411</v>
      </c>
      <c r="AH48" s="5">
        <f t="shared" ref="AH48:AW48" si="122">AH30/(AH30+AH31+AH32)</f>
        <v>0.5242475335608493</v>
      </c>
      <c r="AI48" s="5">
        <f t="shared" si="122"/>
        <v>0.52218732544324886</v>
      </c>
      <c r="AJ48" s="5">
        <f t="shared" si="122"/>
        <v>0.48474066531340571</v>
      </c>
      <c r="AK48" s="5">
        <f t="shared" si="122"/>
        <v>0.54752154727198188</v>
      </c>
      <c r="AL48" s="5">
        <f t="shared" si="122"/>
        <v>0.49097367521436031</v>
      </c>
      <c r="AM48" s="5">
        <f t="shared" si="122"/>
        <v>0.48558775927030717</v>
      </c>
      <c r="AN48" s="5">
        <f t="shared" si="122"/>
        <v>0.48217936222960983</v>
      </c>
      <c r="AO48" s="5">
        <f t="shared" si="122"/>
        <v>0.50283477938715393</v>
      </c>
      <c r="AP48" s="5">
        <f t="shared" si="122"/>
        <v>0.53327004557757163</v>
      </c>
      <c r="AQ48" s="5">
        <f t="shared" si="122"/>
        <v>0.54552650755822929</v>
      </c>
      <c r="AR48" s="5">
        <f t="shared" si="122"/>
        <v>0.48856660187191497</v>
      </c>
      <c r="AS48" s="5">
        <f t="shared" si="122"/>
        <v>0.54476546978538576</v>
      </c>
      <c r="AT48" s="5">
        <f t="shared" si="122"/>
        <v>0.5330609170924735</v>
      </c>
      <c r="AU48" s="5">
        <f t="shared" si="122"/>
        <v>0.49803943663775374</v>
      </c>
      <c r="AV48" s="5">
        <f t="shared" si="122"/>
        <v>3.5082691122304409E-2</v>
      </c>
      <c r="AW48" s="5">
        <f t="shared" si="122"/>
        <v>0.43916188063773209</v>
      </c>
      <c r="AX48" s="5">
        <f t="shared" ref="AX48:BE48" si="123">AX30/(AX30+AX31+AX32)</f>
        <v>0.43721855673263299</v>
      </c>
      <c r="AY48" s="5">
        <f t="shared" si="123"/>
        <v>0.46209217688482151</v>
      </c>
      <c r="AZ48" s="5">
        <f t="shared" si="123"/>
        <v>0.44197013696018866</v>
      </c>
      <c r="BA48" s="5">
        <f t="shared" si="123"/>
        <v>0.4361539691953078</v>
      </c>
      <c r="BB48" s="5">
        <f t="shared" si="123"/>
        <v>0.49492152064382583</v>
      </c>
      <c r="BC48" s="5">
        <f t="shared" si="123"/>
        <v>0.44444605178814461</v>
      </c>
      <c r="BD48" s="5">
        <f t="shared" si="123"/>
        <v>0.48654062112840946</v>
      </c>
      <c r="BE48" s="5">
        <f t="shared" si="123"/>
        <v>0.42916310853753908</v>
      </c>
    </row>
    <row r="49" spans="1:57">
      <c r="A49" s="92" t="s">
        <v>473</v>
      </c>
      <c r="B49" s="5">
        <f t="shared" ref="B49:Q49" si="124">(B27/(B26+B27))*B48</f>
        <v>0.40485010239104929</v>
      </c>
      <c r="C49" s="5">
        <f t="shared" si="124"/>
        <v>0.45978835746362967</v>
      </c>
      <c r="D49" s="5">
        <f t="shared" si="124"/>
        <v>0.45456866338163593</v>
      </c>
      <c r="E49" s="5">
        <f t="shared" si="124"/>
        <v>0.44479695685797543</v>
      </c>
      <c r="F49" s="5">
        <f t="shared" si="124"/>
        <v>0.43330877724149885</v>
      </c>
      <c r="G49" s="5">
        <f t="shared" si="124"/>
        <v>0.41384671431530567</v>
      </c>
      <c r="H49" s="5">
        <f t="shared" si="124"/>
        <v>0.3900962011820201</v>
      </c>
      <c r="I49" s="5">
        <f t="shared" si="124"/>
        <v>0.42336793694075153</v>
      </c>
      <c r="J49" s="5">
        <f t="shared" si="124"/>
        <v>0.40824199047264115</v>
      </c>
      <c r="K49" s="5">
        <f t="shared" si="124"/>
        <v>0.45437967075885904</v>
      </c>
      <c r="L49" s="5">
        <f t="shared" si="124"/>
        <v>0.37292241833295253</v>
      </c>
      <c r="M49" s="5">
        <f t="shared" si="124"/>
        <v>0.39161723640352053</v>
      </c>
      <c r="N49" s="5">
        <f t="shared" si="124"/>
        <v>0.38234646920707255</v>
      </c>
      <c r="O49" s="5">
        <f t="shared" si="124"/>
        <v>0.38438695659339017</v>
      </c>
      <c r="P49" s="5">
        <f t="shared" si="124"/>
        <v>0.42105429192163862</v>
      </c>
      <c r="Q49" s="5">
        <f t="shared" si="124"/>
        <v>0.39170817488192122</v>
      </c>
      <c r="R49" s="5">
        <f t="shared" ref="R49:AG49" si="125">(R27/(R26+R27))*R48</f>
        <v>0.43996778663018543</v>
      </c>
      <c r="S49" s="5">
        <f t="shared" si="125"/>
        <v>0.32315393023135802</v>
      </c>
      <c r="T49" s="5">
        <f t="shared" si="125"/>
        <v>0.30941100368489061</v>
      </c>
      <c r="U49" s="5">
        <f t="shared" si="125"/>
        <v>0.34108362167139689</v>
      </c>
      <c r="V49" s="5">
        <f t="shared" si="125"/>
        <v>0.38389903239462003</v>
      </c>
      <c r="W49" s="5">
        <f t="shared" si="125"/>
        <v>0.4971299802774381</v>
      </c>
      <c r="X49" s="5">
        <f t="shared" si="125"/>
        <v>0.52400140332506506</v>
      </c>
      <c r="Y49" s="5">
        <f t="shared" si="125"/>
        <v>0.49723664102496623</v>
      </c>
      <c r="Z49" s="5">
        <f t="shared" si="125"/>
        <v>0.65470842820674136</v>
      </c>
      <c r="AA49" s="5">
        <f t="shared" si="125"/>
        <v>0.58473293517937552</v>
      </c>
      <c r="AB49" s="5">
        <f t="shared" si="125"/>
        <v>0.52852132586814093</v>
      </c>
      <c r="AC49" s="5">
        <f t="shared" si="125"/>
        <v>0.57314405968499038</v>
      </c>
      <c r="AD49" s="5">
        <f t="shared" si="125"/>
        <v>0.50464287527560348</v>
      </c>
      <c r="AE49" s="5">
        <f t="shared" si="125"/>
        <v>0.52415596263851094</v>
      </c>
      <c r="AF49" s="5">
        <f t="shared" si="125"/>
        <v>0.43353090598765942</v>
      </c>
      <c r="AG49" s="5">
        <f t="shared" si="125"/>
        <v>0.41897196620347099</v>
      </c>
      <c r="AH49" s="5">
        <f t="shared" ref="AH49:AW49" si="126">(AH27/(AH26+AH27))*AH48</f>
        <v>0.45010151783776087</v>
      </c>
      <c r="AI49" s="5">
        <f t="shared" si="126"/>
        <v>0.42193547866409092</v>
      </c>
      <c r="AJ49" s="5">
        <f t="shared" si="126"/>
        <v>0.43802606551157114</v>
      </c>
      <c r="AK49" s="5">
        <f t="shared" si="126"/>
        <v>0.47865538395148993</v>
      </c>
      <c r="AL49" s="5">
        <f t="shared" si="126"/>
        <v>0.40157943430593501</v>
      </c>
      <c r="AM49" s="5">
        <f t="shared" si="126"/>
        <v>0.40485010239104929</v>
      </c>
      <c r="AN49" s="5">
        <f t="shared" si="126"/>
        <v>0.40487336218232844</v>
      </c>
      <c r="AO49" s="5">
        <f t="shared" si="126"/>
        <v>0.45576231590752764</v>
      </c>
      <c r="AP49" s="5">
        <f t="shared" si="126"/>
        <v>0.53327004557757163</v>
      </c>
      <c r="AQ49" s="5">
        <f t="shared" si="126"/>
        <v>0.47928571584955021</v>
      </c>
      <c r="AR49" s="5">
        <f t="shared" si="126"/>
        <v>0.43122280746203079</v>
      </c>
      <c r="AS49" s="5">
        <f t="shared" si="126"/>
        <v>0.47416040881313115</v>
      </c>
      <c r="AT49" s="5">
        <f t="shared" si="126"/>
        <v>0.45622752952895346</v>
      </c>
      <c r="AU49" s="5">
        <f t="shared" si="126"/>
        <v>0.4071098358894446</v>
      </c>
      <c r="AV49" s="5">
        <f t="shared" si="126"/>
        <v>1.5626379995893447E-2</v>
      </c>
      <c r="AW49" s="5">
        <f t="shared" si="126"/>
        <v>0.33989567594429043</v>
      </c>
      <c r="AX49" s="5">
        <f t="shared" ref="AX49:BE49" si="127">(AX27/(AX26+AX27))*AX48</f>
        <v>0.34877236695566305</v>
      </c>
      <c r="AY49" s="5">
        <f t="shared" si="127"/>
        <v>0.34844994080849284</v>
      </c>
      <c r="AZ49" s="5">
        <f t="shared" si="127"/>
        <v>0.34503610969136567</v>
      </c>
      <c r="BA49" s="5">
        <f t="shared" si="127"/>
        <v>0.38149146552075625</v>
      </c>
      <c r="BB49" s="5">
        <f t="shared" si="127"/>
        <v>0.36346956903598221</v>
      </c>
      <c r="BC49" s="5">
        <f t="shared" si="127"/>
        <v>0.35985933341160525</v>
      </c>
      <c r="BD49" s="5">
        <f t="shared" si="127"/>
        <v>0.36603866572795624</v>
      </c>
      <c r="BE49" s="5">
        <f t="shared" si="127"/>
        <v>0.34270363383425922</v>
      </c>
    </row>
    <row r="50" spans="1:57">
      <c r="A50" s="92" t="s">
        <v>474</v>
      </c>
      <c r="B50" s="5">
        <f t="shared" ref="B50:Q50" si="128">(B26/(B26+B27))*B48</f>
        <v>8.0737656879257852E-2</v>
      </c>
      <c r="C50" s="5">
        <f t="shared" si="128"/>
        <v>2.7641639446469669E-2</v>
      </c>
      <c r="D50" s="5">
        <f t="shared" si="128"/>
        <v>4.065948288657896E-2</v>
      </c>
      <c r="E50" s="5">
        <f t="shared" si="128"/>
        <v>4.6105439788005194E-2</v>
      </c>
      <c r="F50" s="5">
        <f t="shared" si="128"/>
        <v>6.0180060192824784E-2</v>
      </c>
      <c r="G50" s="5">
        <f t="shared" si="128"/>
        <v>0.11718954132151566</v>
      </c>
      <c r="H50" s="5">
        <f t="shared" si="128"/>
        <v>0.13966412621938099</v>
      </c>
      <c r="I50" s="5">
        <f t="shared" si="128"/>
        <v>9.4533176742896449E-2</v>
      </c>
      <c r="J50" s="5">
        <f t="shared" si="128"/>
        <v>0.12937893517333576</v>
      </c>
      <c r="K50" s="5">
        <f t="shared" si="128"/>
        <v>7.9860701614654972E-2</v>
      </c>
      <c r="L50" s="5">
        <f t="shared" si="128"/>
        <v>9.2463241216787451E-2</v>
      </c>
      <c r="M50" s="5">
        <f t="shared" si="128"/>
        <v>7.5175947969543855E-2</v>
      </c>
      <c r="N50" s="5">
        <f t="shared" si="128"/>
        <v>8.9695831539772578E-2</v>
      </c>
      <c r="O50" s="5">
        <f t="shared" si="128"/>
        <v>8.3726588111438738E-2</v>
      </c>
      <c r="P50" s="5">
        <f t="shared" si="128"/>
        <v>9.8162110350832485E-2</v>
      </c>
      <c r="Q50" s="5">
        <f t="shared" si="128"/>
        <v>7.7893224835629965E-2</v>
      </c>
      <c r="R50" s="5">
        <f t="shared" ref="R50:AG50" si="129">(R26/(R26+R27))*R48</f>
        <v>3.8574623480542865E-2</v>
      </c>
      <c r="S50" s="5">
        <f t="shared" si="129"/>
        <v>9.9296661694160987E-2</v>
      </c>
      <c r="T50" s="5">
        <f t="shared" si="129"/>
        <v>0.11346158263033494</v>
      </c>
      <c r="U50" s="5">
        <f t="shared" si="129"/>
        <v>7.9209138834706108E-2</v>
      </c>
      <c r="V50" s="5">
        <f t="shared" si="129"/>
        <v>5.5480642245825704E-2</v>
      </c>
      <c r="W50" s="5">
        <f t="shared" si="129"/>
        <v>7.6389065033746484E-2</v>
      </c>
      <c r="X50" s="5">
        <f t="shared" si="129"/>
        <v>7.914708258554215E-2</v>
      </c>
      <c r="Y50" s="5">
        <f t="shared" si="129"/>
        <v>7.8881799690020252E-2</v>
      </c>
      <c r="Z50" s="5">
        <f t="shared" si="129"/>
        <v>3.9386183640470966E-2</v>
      </c>
      <c r="AA50" s="5">
        <f t="shared" si="129"/>
        <v>0</v>
      </c>
      <c r="AB50" s="5">
        <f t="shared" si="129"/>
        <v>0</v>
      </c>
      <c r="AC50" s="5">
        <f t="shared" si="129"/>
        <v>0</v>
      </c>
      <c r="AD50" s="5">
        <f t="shared" si="129"/>
        <v>4.8710641839152455E-2</v>
      </c>
      <c r="AE50" s="5">
        <f t="shared" si="129"/>
        <v>4.6626623229244407E-2</v>
      </c>
      <c r="AF50" s="5">
        <f t="shared" si="129"/>
        <v>5.5710319069011478E-2</v>
      </c>
      <c r="AG50" s="5">
        <f t="shared" si="129"/>
        <v>9.8877145759793145E-2</v>
      </c>
      <c r="AH50" s="5">
        <f t="shared" ref="AH50:AW50" si="130">(AH26/(AH26+AH27))*AH48</f>
        <v>7.4146015723088377E-2</v>
      </c>
      <c r="AI50" s="5">
        <f t="shared" si="130"/>
        <v>0.10025184677915788</v>
      </c>
      <c r="AJ50" s="5">
        <f t="shared" si="130"/>
        <v>4.671459980183458E-2</v>
      </c>
      <c r="AK50" s="5">
        <f t="shared" si="130"/>
        <v>6.8866163320491905E-2</v>
      </c>
      <c r="AL50" s="5">
        <f t="shared" si="130"/>
        <v>8.9394240908425252E-2</v>
      </c>
      <c r="AM50" s="5">
        <f t="shared" si="130"/>
        <v>8.0737656879257852E-2</v>
      </c>
      <c r="AN50" s="5">
        <f t="shared" si="130"/>
        <v>7.7306000047281415E-2</v>
      </c>
      <c r="AO50" s="5">
        <f t="shared" si="130"/>
        <v>4.7072463479626306E-2</v>
      </c>
      <c r="AP50" s="5">
        <f t="shared" si="130"/>
        <v>0</v>
      </c>
      <c r="AQ50" s="5">
        <f t="shared" si="130"/>
        <v>6.6240791708679123E-2</v>
      </c>
      <c r="AR50" s="5">
        <f t="shared" si="130"/>
        <v>5.7343794409884241E-2</v>
      </c>
      <c r="AS50" s="5">
        <f t="shared" si="130"/>
        <v>7.0605060972254594E-2</v>
      </c>
      <c r="AT50" s="5">
        <f t="shared" si="130"/>
        <v>7.6833387563520025E-2</v>
      </c>
      <c r="AU50" s="5">
        <f t="shared" si="130"/>
        <v>9.0929600748309206E-2</v>
      </c>
      <c r="AV50" s="5">
        <f t="shared" si="130"/>
        <v>1.9456311126410965E-2</v>
      </c>
      <c r="AW50" s="5">
        <f t="shared" si="130"/>
        <v>9.9266204693441704E-2</v>
      </c>
      <c r="AX50" s="5">
        <f t="shared" ref="AX50:BE50" si="131">(AX26/(AX26+AX27))*AX48</f>
        <v>8.8446189776969955E-2</v>
      </c>
      <c r="AY50" s="5">
        <f t="shared" si="131"/>
        <v>0.11364223607632873</v>
      </c>
      <c r="AZ50" s="5">
        <f t="shared" si="131"/>
        <v>9.6934027268822984E-2</v>
      </c>
      <c r="BA50" s="5">
        <f t="shared" si="131"/>
        <v>5.4662503674551575E-2</v>
      </c>
      <c r="BB50" s="5">
        <f t="shared" si="131"/>
        <v>0.13145195160784356</v>
      </c>
      <c r="BC50" s="5">
        <f t="shared" si="131"/>
        <v>8.4586718376539388E-2</v>
      </c>
      <c r="BD50" s="5">
        <f t="shared" si="131"/>
        <v>0.12050195540045325</v>
      </c>
      <c r="BE50" s="5">
        <f t="shared" si="131"/>
        <v>8.6459474703279887E-2</v>
      </c>
    </row>
    <row r="51" spans="1:57">
      <c r="A51" s="53" t="s">
        <v>475</v>
      </c>
      <c r="B51" s="5">
        <f t="shared" ref="B51:Q51" si="132">B26/(B26+B27)</f>
        <v>0.1662678997522144</v>
      </c>
      <c r="C51" s="5">
        <f t="shared" si="132"/>
        <v>5.6708942046436756E-2</v>
      </c>
      <c r="D51" s="5">
        <f t="shared" si="132"/>
        <v>8.2102528285130705E-2</v>
      </c>
      <c r="E51" s="5">
        <f t="shared" si="132"/>
        <v>9.3919769190401028E-2</v>
      </c>
      <c r="F51" s="5">
        <f t="shared" si="132"/>
        <v>0.12194816909274851</v>
      </c>
      <c r="G51" s="5">
        <f t="shared" si="132"/>
        <v>0.22068086703605835</v>
      </c>
      <c r="H51" s="5">
        <f t="shared" si="132"/>
        <v>0.26363643896187239</v>
      </c>
      <c r="I51" s="5">
        <f t="shared" si="132"/>
        <v>0.18253132546967374</v>
      </c>
      <c r="J51" s="5">
        <f t="shared" si="132"/>
        <v>0.24065085453636473</v>
      </c>
      <c r="K51" s="5">
        <f t="shared" si="132"/>
        <v>0.14948458735877862</v>
      </c>
      <c r="L51" s="5">
        <f t="shared" si="132"/>
        <v>0.19868089899084027</v>
      </c>
      <c r="M51" s="5">
        <f t="shared" si="132"/>
        <v>0.16104765554902084</v>
      </c>
      <c r="N51" s="5">
        <f t="shared" si="132"/>
        <v>0.19001651207499765</v>
      </c>
      <c r="O51" s="5">
        <f t="shared" si="132"/>
        <v>0.17885957169693287</v>
      </c>
      <c r="P51" s="5">
        <f t="shared" si="132"/>
        <v>0.18905818445103664</v>
      </c>
      <c r="Q51" s="5">
        <f t="shared" si="132"/>
        <v>0.16587093837982597</v>
      </c>
      <c r="R51" s="5">
        <f t="shared" ref="R51:AG51" si="133">R26/(R26+R27)</f>
        <v>8.0608578603549919E-2</v>
      </c>
      <c r="S51" s="5">
        <f t="shared" si="133"/>
        <v>0.23504917164766972</v>
      </c>
      <c r="T51" s="5">
        <f t="shared" si="133"/>
        <v>0.26831151108423068</v>
      </c>
      <c r="U51" s="5">
        <f t="shared" si="133"/>
        <v>0.18846182061124489</v>
      </c>
      <c r="V51" s="5">
        <f t="shared" si="133"/>
        <v>0.12627038856821668</v>
      </c>
      <c r="W51" s="5">
        <f t="shared" si="133"/>
        <v>0.1331935977684903</v>
      </c>
      <c r="X51" s="5">
        <f t="shared" si="133"/>
        <v>0.13122321357741509</v>
      </c>
      <c r="Y51" s="5">
        <f t="shared" si="133"/>
        <v>0.1369194146816837</v>
      </c>
      <c r="Z51" s="5">
        <f t="shared" si="133"/>
        <v>5.674469008720795E-2</v>
      </c>
      <c r="AA51" s="5">
        <f t="shared" si="133"/>
        <v>0</v>
      </c>
      <c r="AB51" s="5">
        <f t="shared" si="133"/>
        <v>0</v>
      </c>
      <c r="AC51" s="5">
        <f t="shared" si="133"/>
        <v>0</v>
      </c>
      <c r="AD51" s="5">
        <f t="shared" si="133"/>
        <v>8.80280694575412E-2</v>
      </c>
      <c r="AE51" s="5">
        <f t="shared" si="133"/>
        <v>8.1688937931346309E-2</v>
      </c>
      <c r="AF51" s="5">
        <f t="shared" si="133"/>
        <v>0.11387086004978079</v>
      </c>
      <c r="AG51" s="5">
        <f t="shared" si="133"/>
        <v>0.19093813907478019</v>
      </c>
      <c r="AH51" s="5">
        <f t="shared" ref="AH51:AW51" si="134">AH26/(AH26+AH27)</f>
        <v>0.14143321804389999</v>
      </c>
      <c r="AI51" s="5">
        <f t="shared" si="134"/>
        <v>0.19198445058784411</v>
      </c>
      <c r="AJ51" s="5">
        <f t="shared" si="134"/>
        <v>9.6370292704103092E-2</v>
      </c>
      <c r="AK51" s="5">
        <f t="shared" si="134"/>
        <v>0.12577799661696706</v>
      </c>
      <c r="AL51" s="5">
        <f t="shared" si="134"/>
        <v>0.18207542567204954</v>
      </c>
      <c r="AM51" s="5">
        <f t="shared" si="134"/>
        <v>0.1662678997522144</v>
      </c>
      <c r="AN51" s="5">
        <f t="shared" si="134"/>
        <v>0.16032623148742092</v>
      </c>
      <c r="AO51" s="5">
        <f t="shared" si="134"/>
        <v>9.3614175886953144E-2</v>
      </c>
      <c r="AP51" s="5">
        <f t="shared" si="134"/>
        <v>0</v>
      </c>
      <c r="AQ51" s="5">
        <f t="shared" si="134"/>
        <v>0.12142543174514504</v>
      </c>
      <c r="AR51" s="5">
        <f t="shared" si="134"/>
        <v>0.11737149897306688</v>
      </c>
      <c r="AS51" s="5">
        <f t="shared" si="134"/>
        <v>0.12960634417609096</v>
      </c>
      <c r="AT51" s="5">
        <f t="shared" si="134"/>
        <v>0.14413622364700815</v>
      </c>
      <c r="AU51" s="5">
        <f t="shared" si="134"/>
        <v>0.18257510160675561</v>
      </c>
      <c r="AV51" s="5">
        <f t="shared" si="134"/>
        <v>0.55458434071043339</v>
      </c>
      <c r="AW51" s="5">
        <f t="shared" si="134"/>
        <v>0.22603556699705257</v>
      </c>
      <c r="AX51" s="5">
        <f t="shared" ref="AX51:BE51" si="135">AX26/(AX26+AX27)</f>
        <v>0.20229285426020102</v>
      </c>
      <c r="AY51" s="5">
        <f t="shared" si="135"/>
        <v>0.24592979877401072</v>
      </c>
      <c r="AZ51" s="5">
        <f t="shared" si="135"/>
        <v>0.21932257218897691</v>
      </c>
      <c r="BA51" s="5">
        <f t="shared" si="135"/>
        <v>0.12532845631418282</v>
      </c>
      <c r="BB51" s="5">
        <f t="shared" si="135"/>
        <v>0.26560160777984032</v>
      </c>
      <c r="BC51" s="5">
        <f t="shared" si="135"/>
        <v>0.1903194280525628</v>
      </c>
      <c r="BD51" s="5">
        <f t="shared" si="135"/>
        <v>0.24767090386200244</v>
      </c>
      <c r="BE51" s="5">
        <f t="shared" si="135"/>
        <v>0.20146064044952092</v>
      </c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51"/>
  <sheetViews>
    <sheetView topLeftCell="A16" workbookViewId="0">
      <pane xSplit="2340" topLeftCell="K1" activePane="topRight"/>
      <selection activeCell="A32" sqref="A32:A49"/>
      <selection pane="topRight" activeCell="L23" sqref="L23"/>
    </sheetView>
  </sheetViews>
  <sheetFormatPr baseColWidth="10" defaultColWidth="10.85546875" defaultRowHeight="15" customHeight="1"/>
  <cols>
    <col min="1" max="1" width="12.5703125" style="104" customWidth="1"/>
    <col min="2" max="13" width="10.85546875" style="103"/>
    <col min="14" max="16384" width="10.85546875" style="102"/>
  </cols>
  <sheetData>
    <row r="1" spans="1:13" s="116" customFormat="1" ht="15" customHeight="1">
      <c r="A1" s="116" t="s">
        <v>458</v>
      </c>
      <c r="B1" s="117" t="s">
        <v>523</v>
      </c>
      <c r="C1" s="117" t="s">
        <v>522</v>
      </c>
      <c r="D1" s="117" t="s">
        <v>503</v>
      </c>
      <c r="E1" s="117" t="s">
        <v>521</v>
      </c>
      <c r="F1" s="117" t="s">
        <v>520</v>
      </c>
      <c r="G1" s="117" t="s">
        <v>519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M1" t="s">
        <v>529</v>
      </c>
    </row>
    <row r="2" spans="1:13" s="116" customFormat="1" ht="15" customHeight="1">
      <c r="A2" s="116" t="s">
        <v>518</v>
      </c>
      <c r="B2" s="117" t="s">
        <v>517</v>
      </c>
      <c r="C2" s="117" t="s">
        <v>517</v>
      </c>
      <c r="D2" s="117" t="s">
        <v>517</v>
      </c>
      <c r="E2" s="117" t="s">
        <v>517</v>
      </c>
      <c r="F2" s="117" t="s">
        <v>517</v>
      </c>
      <c r="G2" s="117" t="s">
        <v>517</v>
      </c>
      <c r="H2" t="s">
        <v>530</v>
      </c>
      <c r="I2" t="s">
        <v>530</v>
      </c>
      <c r="J2" t="s">
        <v>530</v>
      </c>
      <c r="K2" t="s">
        <v>530</v>
      </c>
      <c r="L2" t="s">
        <v>530</v>
      </c>
      <c r="M2" t="s">
        <v>530</v>
      </c>
    </row>
    <row r="3" spans="1:13" s="116" customFormat="1" ht="15" customHeight="1">
      <c r="A3" s="118"/>
      <c r="B3" s="117">
        <v>1</v>
      </c>
      <c r="C3" s="117">
        <v>2</v>
      </c>
      <c r="D3" s="117">
        <v>3</v>
      </c>
      <c r="E3" s="117">
        <v>4</v>
      </c>
      <c r="F3" s="117">
        <v>5</v>
      </c>
      <c r="G3" s="117">
        <v>6</v>
      </c>
      <c r="H3" s="117"/>
      <c r="I3" s="117"/>
      <c r="J3" s="117"/>
      <c r="K3" s="117"/>
      <c r="L3" s="117"/>
      <c r="M3" s="117"/>
    </row>
    <row r="4" spans="1:13" ht="15" customHeight="1">
      <c r="A4" s="104" t="s">
        <v>13</v>
      </c>
      <c r="B4" s="103">
        <v>0.28000000000000003</v>
      </c>
      <c r="C4" s="103">
        <v>0</v>
      </c>
      <c r="D4" s="115">
        <v>0</v>
      </c>
      <c r="E4" s="103">
        <v>0.27</v>
      </c>
      <c r="F4" s="103">
        <v>0</v>
      </c>
      <c r="G4" s="103">
        <v>0.09</v>
      </c>
      <c r="H4" s="4">
        <v>2.3099999999999999E-2</v>
      </c>
      <c r="I4" s="4">
        <v>0.45710000000000001</v>
      </c>
      <c r="J4" s="4">
        <v>2.0299999999999999E-2</v>
      </c>
      <c r="K4" s="4">
        <v>0.1022</v>
      </c>
      <c r="L4" s="4">
        <v>1.079</v>
      </c>
      <c r="M4" s="4">
        <v>0.11700000000000001</v>
      </c>
    </row>
    <row r="5" spans="1:13" ht="15" customHeight="1">
      <c r="A5" s="104" t="s">
        <v>7</v>
      </c>
      <c r="B5" s="103">
        <v>0.02</v>
      </c>
      <c r="C5" s="103">
        <v>0</v>
      </c>
      <c r="D5" s="115">
        <v>0</v>
      </c>
      <c r="E5" s="103">
        <v>0</v>
      </c>
      <c r="F5" s="103">
        <v>19</v>
      </c>
      <c r="G5" s="103">
        <v>0.32</v>
      </c>
      <c r="H5" s="4">
        <v>0.66069999999999995</v>
      </c>
      <c r="I5" s="4">
        <v>0.4199</v>
      </c>
      <c r="J5" s="4">
        <v>0.75349999999999995</v>
      </c>
      <c r="K5" s="4">
        <v>0.92379999999999995</v>
      </c>
      <c r="L5" s="4">
        <v>0.77939999999999998</v>
      </c>
      <c r="M5" s="4">
        <v>0.70899999999999996</v>
      </c>
    </row>
    <row r="6" spans="1:13" ht="15" customHeight="1">
      <c r="A6" s="104" t="s">
        <v>14</v>
      </c>
      <c r="B6" s="103">
        <v>64.849999999999994</v>
      </c>
      <c r="C6" s="103">
        <v>60.7</v>
      </c>
      <c r="D6" s="115">
        <v>58.18</v>
      </c>
      <c r="E6" s="103">
        <v>0.21</v>
      </c>
      <c r="F6" s="103">
        <v>4.3</v>
      </c>
      <c r="G6" s="103">
        <v>21.6</v>
      </c>
      <c r="H6" s="4">
        <v>0.87080000000000002</v>
      </c>
      <c r="I6" s="4">
        <v>0.79759999999999998</v>
      </c>
      <c r="J6" s="4">
        <v>0.76829999999999998</v>
      </c>
      <c r="K6" s="4">
        <v>1.1676</v>
      </c>
      <c r="L6" s="4">
        <v>1.3880999999999999</v>
      </c>
      <c r="M6" s="4">
        <v>0.9698</v>
      </c>
    </row>
    <row r="7" spans="1:13" ht="15" customHeight="1">
      <c r="A7" s="104" t="s">
        <v>8</v>
      </c>
      <c r="B7" s="103">
        <v>0.03</v>
      </c>
      <c r="C7" s="103">
        <v>0</v>
      </c>
      <c r="D7" s="115">
        <v>0</v>
      </c>
      <c r="E7" s="103">
        <v>0</v>
      </c>
      <c r="F7" s="103">
        <v>0</v>
      </c>
      <c r="G7" s="103">
        <v>43.8</v>
      </c>
      <c r="H7" s="4">
        <v>55.4</v>
      </c>
      <c r="I7" s="4">
        <v>57.89</v>
      </c>
      <c r="J7" s="4">
        <v>53.89</v>
      </c>
      <c r="K7" s="4">
        <v>55.83</v>
      </c>
      <c r="L7" s="4">
        <v>55.31</v>
      </c>
      <c r="M7" s="4">
        <v>57.76</v>
      </c>
    </row>
    <row r="8" spans="1:13" ht="15" customHeight="1">
      <c r="A8" s="104" t="s">
        <v>102</v>
      </c>
      <c r="B8" s="103">
        <v>15.69</v>
      </c>
      <c r="C8" s="103">
        <v>34.700000000000003</v>
      </c>
      <c r="D8" s="115">
        <v>10.5</v>
      </c>
      <c r="E8" s="103">
        <v>92.75</v>
      </c>
      <c r="F8" s="103">
        <v>73.08</v>
      </c>
      <c r="G8" s="103">
        <v>15.43</v>
      </c>
      <c r="H8" s="4">
        <v>38.450000000000003</v>
      </c>
      <c r="I8" s="4">
        <v>35.39</v>
      </c>
      <c r="J8" s="4">
        <v>39.76</v>
      </c>
      <c r="K8" s="4">
        <v>36.94</v>
      </c>
      <c r="L8" s="4">
        <v>34.78</v>
      </c>
      <c r="M8" s="4">
        <v>35.380000000000003</v>
      </c>
    </row>
    <row r="9" spans="1:13" ht="15" customHeight="1">
      <c r="A9" s="104" t="s">
        <v>9</v>
      </c>
      <c r="B9" s="103">
        <v>0.01</v>
      </c>
      <c r="C9" s="103">
        <v>0.2</v>
      </c>
      <c r="D9" s="115">
        <v>0.08</v>
      </c>
      <c r="E9" s="103">
        <v>0</v>
      </c>
      <c r="F9" s="103">
        <v>0</v>
      </c>
      <c r="G9" s="103">
        <v>0.3</v>
      </c>
      <c r="H9" s="4">
        <v>0.59819999999999995</v>
      </c>
      <c r="I9" s="4">
        <v>0.56030000000000002</v>
      </c>
      <c r="J9" s="4">
        <v>0.5363</v>
      </c>
      <c r="K9" s="4">
        <v>0.68279999999999996</v>
      </c>
      <c r="L9" s="4">
        <v>0.66200000000000003</v>
      </c>
      <c r="M9" s="4">
        <v>0.62290000000000001</v>
      </c>
    </row>
    <row r="10" spans="1:13" ht="15" customHeight="1">
      <c r="A10" s="104" t="s">
        <v>15</v>
      </c>
      <c r="B10" s="103">
        <v>18.739999999999998</v>
      </c>
      <c r="C10" s="103">
        <v>4.3</v>
      </c>
      <c r="D10" s="115">
        <v>3.3</v>
      </c>
      <c r="E10" s="103">
        <v>0</v>
      </c>
      <c r="F10" s="103">
        <v>0.2</v>
      </c>
      <c r="G10" s="103">
        <v>17.2</v>
      </c>
      <c r="H10" s="4">
        <v>1.72</v>
      </c>
      <c r="I10" s="4">
        <v>1.94</v>
      </c>
      <c r="J10" s="4">
        <v>1.74</v>
      </c>
      <c r="K10" s="4">
        <v>2.6</v>
      </c>
      <c r="L10" s="4">
        <v>3.23</v>
      </c>
      <c r="M10" s="4">
        <v>2.46</v>
      </c>
    </row>
    <row r="11" spans="1:13" ht="15" customHeight="1">
      <c r="A11" s="104" t="s">
        <v>6</v>
      </c>
      <c r="B11" s="103">
        <v>0</v>
      </c>
      <c r="C11" s="103">
        <v>0.1</v>
      </c>
      <c r="D11" s="115">
        <v>0</v>
      </c>
      <c r="E11" s="103">
        <v>0</v>
      </c>
      <c r="F11" s="103">
        <v>0</v>
      </c>
      <c r="G11" s="103">
        <v>0</v>
      </c>
      <c r="H11" s="4">
        <v>1.7000000000000001E-2</v>
      </c>
      <c r="I11" s="4">
        <v>5.8999999999999999E-3</v>
      </c>
      <c r="J11" s="4">
        <v>8.0999999999999996E-3</v>
      </c>
      <c r="K11" s="4">
        <v>1.3899999999999999E-2</v>
      </c>
      <c r="L11" s="4">
        <v>1.5100000000000001E-2</v>
      </c>
      <c r="M11" s="4">
        <v>0</v>
      </c>
    </row>
    <row r="12" spans="1:13" ht="15" customHeight="1">
      <c r="A12" s="104" t="s">
        <v>152</v>
      </c>
      <c r="B12" s="103">
        <v>0</v>
      </c>
      <c r="C12" s="103">
        <v>0</v>
      </c>
      <c r="D12" s="115">
        <v>27.71</v>
      </c>
      <c r="E12" s="103">
        <v>0</v>
      </c>
      <c r="F12" s="103">
        <v>0</v>
      </c>
      <c r="G12" s="103">
        <v>0</v>
      </c>
      <c r="H12" s="4">
        <v>1.34</v>
      </c>
      <c r="I12" s="4">
        <v>1.29</v>
      </c>
      <c r="J12" s="4">
        <v>1.1227</v>
      </c>
      <c r="K12" s="4">
        <v>0.48230000000000001</v>
      </c>
      <c r="L12" s="4">
        <v>0.85229999999999995</v>
      </c>
      <c r="M12" s="4">
        <v>0.77310000000000001</v>
      </c>
    </row>
    <row r="13" spans="1:13" ht="15" customHeight="1">
      <c r="A13" s="104" t="s">
        <v>11</v>
      </c>
      <c r="B13" s="103">
        <v>0</v>
      </c>
      <c r="C13" s="103">
        <v>0</v>
      </c>
      <c r="D13" s="115">
        <v>0</v>
      </c>
      <c r="E13" s="103">
        <v>0</v>
      </c>
      <c r="F13" s="103">
        <v>0</v>
      </c>
      <c r="G13" s="103">
        <v>0</v>
      </c>
      <c r="H13" s="4">
        <v>5.4000000000000003E-3</v>
      </c>
      <c r="I13" s="4">
        <v>3.3599999999999998E-2</v>
      </c>
      <c r="J13" s="4">
        <v>1.6299999999999999E-2</v>
      </c>
      <c r="K13" s="4">
        <v>0.17419999999999999</v>
      </c>
      <c r="L13" s="4">
        <v>5.6599999999999998E-2</v>
      </c>
      <c r="M13" s="4">
        <v>9.06E-2</v>
      </c>
    </row>
    <row r="14" spans="1:13" ht="15" customHeight="1">
      <c r="A14" s="104" t="s">
        <v>476</v>
      </c>
      <c r="B14" s="103">
        <f t="shared" ref="B14:G14" si="0">SUM(B4:B13)</f>
        <v>99.61999999999999</v>
      </c>
      <c r="C14" s="103">
        <f t="shared" si="0"/>
        <v>100</v>
      </c>
      <c r="D14" s="103">
        <f t="shared" si="0"/>
        <v>99.77000000000001</v>
      </c>
      <c r="E14" s="103">
        <f t="shared" si="0"/>
        <v>93.23</v>
      </c>
      <c r="F14" s="103">
        <f t="shared" si="0"/>
        <v>96.58</v>
      </c>
      <c r="G14" s="103">
        <f t="shared" si="0"/>
        <v>98.740000000000009</v>
      </c>
      <c r="H14" s="103">
        <f t="shared" ref="H14:J14" si="1">SUM(H4:H13)</f>
        <v>99.0852</v>
      </c>
      <c r="I14" s="103">
        <f t="shared" si="1"/>
        <v>98.784400000000005</v>
      </c>
      <c r="J14" s="103">
        <f t="shared" si="1"/>
        <v>98.615499999999983</v>
      </c>
      <c r="K14" s="103">
        <f t="shared" ref="K14:M14" si="2">SUM(K4:K13)</f>
        <v>98.916799999999995</v>
      </c>
      <c r="L14" s="103">
        <f t="shared" si="2"/>
        <v>98.152500000000018</v>
      </c>
      <c r="M14" s="103">
        <f t="shared" si="2"/>
        <v>98.88239999999999</v>
      </c>
    </row>
    <row r="15" spans="1:13" ht="15" customHeight="1">
      <c r="A15" s="104" t="s">
        <v>516</v>
      </c>
    </row>
    <row r="16" spans="1:13" s="109" customFormat="1" ht="15" customHeight="1">
      <c r="A16" s="110" t="s">
        <v>515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</row>
    <row r="17" spans="1:13" s="107" customFormat="1" ht="15" customHeight="1">
      <c r="A17" s="108" t="s">
        <v>52</v>
      </c>
      <c r="B17" s="106">
        <f t="shared" ref="B17:G22" si="3">B134</f>
        <v>0.33569292998197625</v>
      </c>
      <c r="C17" s="106">
        <f t="shared" si="3"/>
        <v>0.81159733467911754</v>
      </c>
      <c r="D17" s="106">
        <f t="shared" si="3"/>
        <v>0.25621346579593085</v>
      </c>
      <c r="E17" s="106">
        <f t="shared" si="3"/>
        <v>1</v>
      </c>
      <c r="F17" s="106">
        <f t="shared" si="3"/>
        <v>2.5047325244643215</v>
      </c>
      <c r="G17" s="106">
        <f t="shared" si="3"/>
        <v>0.39826910638185214</v>
      </c>
      <c r="H17" s="105">
        <f t="shared" ref="H17:J17" si="4">H134</f>
        <v>0.99999999999999978</v>
      </c>
      <c r="I17" s="105">
        <f t="shared" si="4"/>
        <v>1</v>
      </c>
      <c r="J17" s="105">
        <f t="shared" si="4"/>
        <v>1</v>
      </c>
      <c r="K17" s="105">
        <f t="shared" ref="K17:M17" si="5">K134</f>
        <v>1</v>
      </c>
      <c r="L17" s="105">
        <f t="shared" si="5"/>
        <v>0.99999999999999978</v>
      </c>
      <c r="M17" s="105">
        <f t="shared" si="5"/>
        <v>1</v>
      </c>
    </row>
    <row r="18" spans="1:13" s="107" customFormat="1" ht="15" customHeight="1">
      <c r="A18" s="108" t="s">
        <v>23</v>
      </c>
      <c r="B18" s="106">
        <f t="shared" si="3"/>
        <v>2.1669796825767531E-4</v>
      </c>
      <c r="C18" s="106">
        <f t="shared" si="3"/>
        <v>4.7377999751947366E-3</v>
      </c>
      <c r="D18" s="106">
        <f t="shared" si="3"/>
        <v>1.9771436645253672E-3</v>
      </c>
      <c r="E18" s="106">
        <f t="shared" si="3"/>
        <v>0</v>
      </c>
      <c r="F18" s="106">
        <f t="shared" si="3"/>
        <v>0</v>
      </c>
      <c r="G18" s="106">
        <f t="shared" si="3"/>
        <v>7.8427349246977338E-3</v>
      </c>
      <c r="H18" s="105">
        <f t="shared" ref="H18:J18" si="6">H135</f>
        <v>1.9390328102695545E-2</v>
      </c>
      <c r="I18" s="105">
        <f t="shared" si="6"/>
        <v>1.7982833117028255E-2</v>
      </c>
      <c r="J18" s="105">
        <f t="shared" si="6"/>
        <v>1.7539320519149144E-2</v>
      </c>
      <c r="K18" s="105">
        <f t="shared" ref="K18:M18" si="7">K135</f>
        <v>2.1879538434310897E-2</v>
      </c>
      <c r="L18" s="105">
        <f t="shared" si="7"/>
        <v>2.1052758275623397E-2</v>
      </c>
      <c r="M18" s="105">
        <f t="shared" si="7"/>
        <v>1.9919751850642004E-2</v>
      </c>
    </row>
    <row r="19" spans="1:13" s="107" customFormat="1" ht="15" customHeight="1">
      <c r="A19" s="108" t="s">
        <v>24</v>
      </c>
      <c r="B19" s="106">
        <f t="shared" si="3"/>
        <v>0.71484282751875527</v>
      </c>
      <c r="C19" s="106">
        <f t="shared" si="3"/>
        <v>0.17930868238627207</v>
      </c>
      <c r="D19" s="106">
        <f t="shared" si="3"/>
        <v>0.14356491505977589</v>
      </c>
      <c r="E19" s="106">
        <f t="shared" si="3"/>
        <v>0</v>
      </c>
      <c r="F19" s="106">
        <f t="shared" si="3"/>
        <v>1.2221219336283397E-2</v>
      </c>
      <c r="G19" s="106">
        <f t="shared" si="3"/>
        <v>0.79151812966075974</v>
      </c>
      <c r="H19" s="105">
        <f t="shared" ref="H19:J19" si="8">H136</f>
        <v>9.8141645201982361E-2</v>
      </c>
      <c r="I19" s="105">
        <f t="shared" si="8"/>
        <v>0.10960373637858173</v>
      </c>
      <c r="J19" s="105">
        <f t="shared" si="8"/>
        <v>0.10017061817616646</v>
      </c>
      <c r="K19" s="105">
        <f t="shared" ref="K19:M19" si="9">K136</f>
        <v>0.14665745001889896</v>
      </c>
      <c r="L19" s="105">
        <f t="shared" si="9"/>
        <v>0.18081717296990463</v>
      </c>
      <c r="M19" s="105">
        <f t="shared" si="9"/>
        <v>0.13847993089475336</v>
      </c>
    </row>
    <row r="20" spans="1:13" s="107" customFormat="1" ht="15" customHeight="1">
      <c r="A20" s="108" t="s">
        <v>26</v>
      </c>
      <c r="B20" s="106">
        <f t="shared" si="3"/>
        <v>0</v>
      </c>
      <c r="C20" s="106">
        <f t="shared" si="3"/>
        <v>2.9966077945819776E-3</v>
      </c>
      <c r="D20" s="106">
        <f t="shared" si="3"/>
        <v>0</v>
      </c>
      <c r="E20" s="106">
        <f t="shared" si="3"/>
        <v>0</v>
      </c>
      <c r="F20" s="106">
        <f t="shared" si="3"/>
        <v>0</v>
      </c>
      <c r="G20" s="106">
        <f t="shared" si="3"/>
        <v>0</v>
      </c>
      <c r="H20" s="105">
        <f t="shared" ref="H20:J20" si="10">H137</f>
        <v>6.9706110382051936E-4</v>
      </c>
      <c r="I20" s="105">
        <f t="shared" si="10"/>
        <v>2.395370420637618E-4</v>
      </c>
      <c r="J20" s="105">
        <f t="shared" si="10"/>
        <v>3.350990261371892E-4</v>
      </c>
      <c r="K20" s="105">
        <f t="shared" ref="K20:M20" si="11">K137</f>
        <v>5.6343344519564501E-4</v>
      </c>
      <c r="L20" s="105">
        <f t="shared" si="11"/>
        <v>6.074508456924432E-4</v>
      </c>
      <c r="M20" s="105">
        <f t="shared" si="11"/>
        <v>0</v>
      </c>
    </row>
    <row r="21" spans="1:13" s="107" customFormat="1" ht="15" customHeight="1">
      <c r="A21" s="108" t="s">
        <v>162</v>
      </c>
      <c r="B21" s="106">
        <f t="shared" si="3"/>
        <v>0</v>
      </c>
      <c r="C21" s="106">
        <f t="shared" si="3"/>
        <v>0</v>
      </c>
      <c r="D21" s="106">
        <f t="shared" si="3"/>
        <v>0.5969779150232265</v>
      </c>
      <c r="E21" s="106">
        <f t="shared" si="3"/>
        <v>0</v>
      </c>
      <c r="F21" s="106">
        <f t="shared" si="3"/>
        <v>0</v>
      </c>
      <c r="G21" s="106">
        <f t="shared" si="3"/>
        <v>0</v>
      </c>
      <c r="H21" s="105">
        <f t="shared" ref="H21:J21" si="12">H138</f>
        <v>3.7863176514695999E-2</v>
      </c>
      <c r="I21" s="105">
        <f t="shared" si="12"/>
        <v>3.6091148329925597E-2</v>
      </c>
      <c r="J21" s="105">
        <f t="shared" si="12"/>
        <v>3.200679504808715E-2</v>
      </c>
      <c r="K21" s="105">
        <f t="shared" ref="K21:M21" si="13">K138</f>
        <v>1.3472103296065151E-2</v>
      </c>
      <c r="L21" s="105">
        <f t="shared" si="13"/>
        <v>2.3627458096468514E-2</v>
      </c>
      <c r="M21" s="105">
        <f t="shared" si="13"/>
        <v>2.155136413813832E-2</v>
      </c>
    </row>
    <row r="22" spans="1:13" s="107" customFormat="1" ht="15" customHeight="1">
      <c r="A22" s="108" t="s">
        <v>25</v>
      </c>
      <c r="B22" s="106">
        <f t="shared" si="3"/>
        <v>0</v>
      </c>
      <c r="C22" s="106">
        <f t="shared" si="3"/>
        <v>0</v>
      </c>
      <c r="D22" s="106">
        <f t="shared" si="3"/>
        <v>0</v>
      </c>
      <c r="E22" s="106">
        <f t="shared" si="3"/>
        <v>0</v>
      </c>
      <c r="F22" s="106">
        <f t="shared" si="3"/>
        <v>0</v>
      </c>
      <c r="G22" s="106">
        <f t="shared" si="3"/>
        <v>0</v>
      </c>
      <c r="H22" s="105">
        <f t="shared" ref="H22:J22" si="14">H139</f>
        <v>1.6624983909348877E-4</v>
      </c>
      <c r="I22" s="105">
        <f t="shared" si="14"/>
        <v>1.0242488702824591E-3</v>
      </c>
      <c r="J22" s="105">
        <f t="shared" si="14"/>
        <v>5.0631558621414474E-4</v>
      </c>
      <c r="K22" s="105">
        <f t="shared" ref="K22:M22" si="15">K139</f>
        <v>5.3017777586829434E-3</v>
      </c>
      <c r="L22" s="105">
        <f t="shared" si="15"/>
        <v>1.7096065396451587E-3</v>
      </c>
      <c r="M22" s="105">
        <f t="shared" si="15"/>
        <v>2.751835794369059E-3</v>
      </c>
    </row>
    <row r="23" spans="1:13" s="111" customFormat="1" ht="15" customHeight="1">
      <c r="A23" s="114" t="s">
        <v>514</v>
      </c>
      <c r="B23" s="112">
        <f t="shared" ref="B23:G23" si="16">SUM(B17:B22)</f>
        <v>1.0507524554689893</v>
      </c>
      <c r="C23" s="112">
        <f t="shared" si="16"/>
        <v>0.99864042483516635</v>
      </c>
      <c r="D23" s="112">
        <f t="shared" si="16"/>
        <v>0.99873343954345861</v>
      </c>
      <c r="E23" s="112">
        <f t="shared" si="16"/>
        <v>1</v>
      </c>
      <c r="F23" s="112">
        <f t="shared" si="16"/>
        <v>2.5169537438006051</v>
      </c>
      <c r="G23" s="112">
        <f t="shared" si="16"/>
        <v>1.1976299709673097</v>
      </c>
      <c r="H23" s="119">
        <f t="shared" ref="H23:J23" si="17">SUM(H17:H22)</f>
        <v>1.1562584607622877</v>
      </c>
      <c r="I23" s="119">
        <f t="shared" si="17"/>
        <v>1.1649415037378819</v>
      </c>
      <c r="J23" s="119">
        <f t="shared" si="17"/>
        <v>1.1505581483557543</v>
      </c>
      <c r="K23" s="119">
        <f t="shared" ref="K23:M23" si="18">SUM(K17:K22)</f>
        <v>1.1878743029531538</v>
      </c>
      <c r="L23" s="119">
        <f t="shared" si="18"/>
        <v>1.227814446727334</v>
      </c>
      <c r="M23" s="119">
        <f t="shared" si="18"/>
        <v>1.1827028826779027</v>
      </c>
    </row>
    <row r="24" spans="1:13" s="107" customFormat="1" ht="15" customHeight="1">
      <c r="A24" s="108" t="s">
        <v>18</v>
      </c>
      <c r="B24" s="106">
        <f t="shared" ref="B24:G28" si="19">B129</f>
        <v>7.164306063741438E-3</v>
      </c>
      <c r="C24" s="106">
        <f t="shared" si="19"/>
        <v>0</v>
      </c>
      <c r="D24" s="106">
        <f t="shared" si="19"/>
        <v>0</v>
      </c>
      <c r="E24" s="106">
        <f t="shared" si="19"/>
        <v>1.3763655592931212E-2</v>
      </c>
      <c r="F24" s="106">
        <f t="shared" si="19"/>
        <v>0</v>
      </c>
      <c r="G24" s="106">
        <f t="shared" si="19"/>
        <v>2.7781139258891007E-3</v>
      </c>
      <c r="H24" s="105">
        <f t="shared" ref="H24:J24" si="20">H129</f>
        <v>8.8412157595958707E-4</v>
      </c>
      <c r="I24" s="105">
        <f t="shared" si="20"/>
        <v>1.7322476185666388E-2</v>
      </c>
      <c r="J24" s="105">
        <f t="shared" si="20"/>
        <v>7.8390289024346863E-4</v>
      </c>
      <c r="K24" s="105">
        <f t="shared" ref="K24:M24" si="21">K129</f>
        <v>3.8668453158278598E-3</v>
      </c>
      <c r="L24" s="105">
        <f t="shared" si="21"/>
        <v>4.051666768494145E-2</v>
      </c>
      <c r="M24" s="105">
        <f t="shared" si="21"/>
        <v>4.4178677898428897E-3</v>
      </c>
    </row>
    <row r="25" spans="1:13" s="107" customFormat="1" ht="15" customHeight="1">
      <c r="A25" s="108" t="s">
        <v>20</v>
      </c>
      <c r="B25" s="106">
        <f t="shared" si="19"/>
        <v>3.8489118348020748E-4</v>
      </c>
      <c r="C25" s="106">
        <f t="shared" si="19"/>
        <v>0</v>
      </c>
      <c r="D25" s="106">
        <f t="shared" si="19"/>
        <v>0</v>
      </c>
      <c r="E25" s="106">
        <f t="shared" si="19"/>
        <v>0</v>
      </c>
      <c r="F25" s="106">
        <f t="shared" si="19"/>
        <v>0.58574033836956652</v>
      </c>
      <c r="G25" s="106">
        <f t="shared" si="19"/>
        <v>7.429325529067699E-3</v>
      </c>
      <c r="H25" s="105">
        <f t="shared" ref="H25:J25" si="22">H130</f>
        <v>1.901937248091232E-2</v>
      </c>
      <c r="I25" s="105">
        <f t="shared" si="22"/>
        <v>1.1968410985590943E-2</v>
      </c>
      <c r="J25" s="105">
        <f t="shared" si="22"/>
        <v>2.1884738027072071E-2</v>
      </c>
      <c r="K25" s="105">
        <f t="shared" ref="K25:M25" si="23">K130</f>
        <v>2.6289100664441813E-2</v>
      </c>
      <c r="L25" s="105">
        <f t="shared" si="23"/>
        <v>2.2012255441574011E-2</v>
      </c>
      <c r="M25" s="105">
        <f t="shared" si="23"/>
        <v>2.0135617661637368E-2</v>
      </c>
    </row>
    <row r="26" spans="1:13" s="107" customFormat="1" ht="15" customHeight="1">
      <c r="A26" s="108" t="s">
        <v>177</v>
      </c>
      <c r="B26" s="106">
        <f t="shared" si="19"/>
        <v>1.955492582096384</v>
      </c>
      <c r="C26" s="106">
        <f t="shared" si="19"/>
        <v>2.0009063834432226</v>
      </c>
      <c r="D26" s="106">
        <f t="shared" si="19"/>
        <v>2.000844373637694</v>
      </c>
      <c r="E26" s="106">
        <f t="shared" si="19"/>
        <v>1.2615934344978749E-2</v>
      </c>
      <c r="F26" s="106">
        <f t="shared" si="19"/>
        <v>0.20771038630684088</v>
      </c>
      <c r="G26" s="106">
        <f t="shared" si="19"/>
        <v>0.78576265830090486</v>
      </c>
      <c r="H26" s="105">
        <f t="shared" ref="H26:J26" si="24">H131</f>
        <v>3.9277923730555712E-2</v>
      </c>
      <c r="I26" s="105">
        <f t="shared" si="24"/>
        <v>3.5621646526664379E-2</v>
      </c>
      <c r="J26" s="105">
        <f t="shared" si="24"/>
        <v>3.4964486451452365E-2</v>
      </c>
      <c r="K26" s="105">
        <f t="shared" ref="K26:M26" si="25">K131</f>
        <v>5.2063107080267346E-2</v>
      </c>
      <c r="L26" s="105">
        <f t="shared" si="25"/>
        <v>6.1427539770472987E-2</v>
      </c>
      <c r="M26" s="105">
        <f t="shared" si="25"/>
        <v>4.3155795436786881E-2</v>
      </c>
    </row>
    <row r="27" spans="1:13" s="107" customFormat="1" ht="15" customHeight="1">
      <c r="A27" s="108" t="s">
        <v>21</v>
      </c>
      <c r="B27" s="106">
        <f t="shared" si="19"/>
        <v>6.0685126132769857E-4</v>
      </c>
      <c r="C27" s="106">
        <f t="shared" si="19"/>
        <v>0</v>
      </c>
      <c r="D27" s="106">
        <f t="shared" si="19"/>
        <v>0</v>
      </c>
      <c r="E27" s="106">
        <f t="shared" si="19"/>
        <v>0</v>
      </c>
      <c r="F27" s="106">
        <f t="shared" si="19"/>
        <v>0</v>
      </c>
      <c r="G27" s="106">
        <f t="shared" si="19"/>
        <v>1.068874108447613</v>
      </c>
      <c r="H27" s="105">
        <f t="shared" ref="H27:J27" si="26">H132</f>
        <v>1.6763113233493776</v>
      </c>
      <c r="I27" s="105">
        <f t="shared" si="26"/>
        <v>1.7343917773207453</v>
      </c>
      <c r="J27" s="105">
        <f t="shared" si="26"/>
        <v>1.6452023304966259</v>
      </c>
      <c r="K27" s="105">
        <f t="shared" ref="K27:M27" si="27">K132</f>
        <v>1.6700075562287582</v>
      </c>
      <c r="L27" s="105">
        <f t="shared" si="27"/>
        <v>1.6419534397008222</v>
      </c>
      <c r="M27" s="105">
        <f t="shared" si="27"/>
        <v>1.7242448694569787</v>
      </c>
    </row>
    <row r="28" spans="1:13" s="107" customFormat="1" ht="15" customHeight="1">
      <c r="A28" s="108" t="s">
        <v>51</v>
      </c>
      <c r="B28" s="106">
        <f t="shared" si="19"/>
        <v>0</v>
      </c>
      <c r="C28" s="106">
        <f t="shared" si="19"/>
        <v>0</v>
      </c>
      <c r="D28" s="106">
        <f t="shared" si="19"/>
        <v>0</v>
      </c>
      <c r="E28" s="106">
        <f t="shared" si="19"/>
        <v>1.9690325248644465</v>
      </c>
      <c r="F28" s="106">
        <f t="shared" si="19"/>
        <v>0</v>
      </c>
      <c r="G28" s="106">
        <f t="shared" si="19"/>
        <v>0</v>
      </c>
      <c r="H28" s="105">
        <f t="shared" ref="H28:J28" si="28">H133</f>
        <v>0.15370045366937909</v>
      </c>
      <c r="I28" s="105">
        <f t="shared" si="28"/>
        <v>8.097105743232591E-2</v>
      </c>
      <c r="J28" s="105">
        <f t="shared" si="28"/>
        <v>0.18923622959166453</v>
      </c>
      <c r="K28" s="105">
        <f t="shared" ref="K28:M28" si="29">K133</f>
        <v>0.1124718734151795</v>
      </c>
      <c r="L28" s="105">
        <f t="shared" si="29"/>
        <v>6.1370825208461259E-2</v>
      </c>
      <c r="M28" s="105">
        <f t="shared" si="29"/>
        <v>7.8059432718992294E-2</v>
      </c>
    </row>
    <row r="29" spans="1:13" s="111" customFormat="1" ht="15" customHeight="1">
      <c r="A29" s="114" t="s">
        <v>513</v>
      </c>
      <c r="B29" s="113">
        <f t="shared" ref="B29:G29" si="30">SUM(B24:B28)</f>
        <v>1.9636486306049334</v>
      </c>
      <c r="C29" s="113">
        <f t="shared" si="30"/>
        <v>2.0009063834432226</v>
      </c>
      <c r="D29" s="113">
        <f t="shared" si="30"/>
        <v>2.000844373637694</v>
      </c>
      <c r="E29" s="113">
        <f t="shared" si="30"/>
        <v>1.9954121148023565</v>
      </c>
      <c r="F29" s="113">
        <f t="shared" si="30"/>
        <v>0.79345072467640743</v>
      </c>
      <c r="G29" s="113">
        <f t="shared" si="30"/>
        <v>1.8648442062034747</v>
      </c>
      <c r="H29" s="120">
        <f t="shared" ref="H29:J29" si="31">SUM(H24:H28)</f>
        <v>1.8891931948061844</v>
      </c>
      <c r="I29" s="120">
        <f t="shared" si="31"/>
        <v>1.880275368450993</v>
      </c>
      <c r="J29" s="120">
        <f t="shared" si="31"/>
        <v>1.8920716874570582</v>
      </c>
      <c r="K29" s="120">
        <f t="shared" ref="K29:M29" si="32">SUM(K24:K28)</f>
        <v>1.8646984827044748</v>
      </c>
      <c r="L29" s="120">
        <f t="shared" si="32"/>
        <v>1.8272807278062719</v>
      </c>
      <c r="M29" s="120">
        <f t="shared" si="32"/>
        <v>1.8700135830642381</v>
      </c>
    </row>
    <row r="30" spans="1:13" s="107" customFormat="1" ht="15" customHeight="1">
      <c r="A30" s="108" t="s">
        <v>476</v>
      </c>
      <c r="B30" s="106">
        <f t="shared" ref="B30:G30" si="33">B29+B23</f>
        <v>3.0144010860739225</v>
      </c>
      <c r="C30" s="106">
        <f t="shared" si="33"/>
        <v>2.9995468082783887</v>
      </c>
      <c r="D30" s="106">
        <f t="shared" si="33"/>
        <v>2.9995778131811526</v>
      </c>
      <c r="E30" s="106">
        <f t="shared" si="33"/>
        <v>2.9954121148023565</v>
      </c>
      <c r="F30" s="106">
        <f t="shared" si="33"/>
        <v>3.3104044684770124</v>
      </c>
      <c r="G30" s="106">
        <f t="shared" si="33"/>
        <v>3.0624741771707846</v>
      </c>
      <c r="H30" s="105">
        <f t="shared" ref="H30:J30" si="34">H29+H23</f>
        <v>3.0454516555684723</v>
      </c>
      <c r="I30" s="105">
        <f t="shared" si="34"/>
        <v>3.0452168721888748</v>
      </c>
      <c r="J30" s="105">
        <f t="shared" si="34"/>
        <v>3.0426298358128125</v>
      </c>
      <c r="K30" s="105">
        <f t="shared" ref="K30:M30" si="35">K29+K23</f>
        <v>3.0525727856576284</v>
      </c>
      <c r="L30" s="105">
        <f t="shared" si="35"/>
        <v>3.0550951745336059</v>
      </c>
      <c r="M30" s="105">
        <f t="shared" si="35"/>
        <v>3.0527164657421411</v>
      </c>
    </row>
    <row r="31" spans="1:13" s="107" customFormat="1" ht="15" customHeight="1">
      <c r="A31" s="108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</row>
    <row r="32" spans="1:13" s="107" customFormat="1" ht="15" customHeight="1">
      <c r="A32" s="108" t="s">
        <v>512</v>
      </c>
      <c r="B32" s="106">
        <f t="shared" ref="B32:G32" si="36">B26/(B26+B27+B28)</f>
        <v>0.99968976461473325</v>
      </c>
      <c r="C32" s="106">
        <f t="shared" si="36"/>
        <v>1</v>
      </c>
      <c r="D32" s="106">
        <f t="shared" si="36"/>
        <v>1</v>
      </c>
      <c r="E32" s="106">
        <f t="shared" si="36"/>
        <v>6.3663836470833233E-3</v>
      </c>
      <c r="F32" s="106">
        <f t="shared" si="36"/>
        <v>1</v>
      </c>
      <c r="G32" s="106">
        <f t="shared" si="36"/>
        <v>0.4236746905856264</v>
      </c>
      <c r="H32" s="106">
        <f t="shared" ref="H32:J32" si="37">H26/(H26+H27+H28)</f>
        <v>2.1012218552753485E-2</v>
      </c>
      <c r="I32" s="106">
        <f t="shared" si="37"/>
        <v>1.9244702960467961E-2</v>
      </c>
      <c r="J32" s="106">
        <f t="shared" si="37"/>
        <v>1.8703557007768594E-2</v>
      </c>
      <c r="K32" s="106">
        <f t="shared" ref="K32:M32" si="38">K26/(K26+K27+K28)</f>
        <v>2.8379340373994408E-2</v>
      </c>
      <c r="L32" s="106">
        <f t="shared" si="38"/>
        <v>3.4808033405932706E-2</v>
      </c>
      <c r="M32" s="106">
        <f t="shared" si="38"/>
        <v>2.3384843428807894E-2</v>
      </c>
    </row>
    <row r="33" spans="1:13" s="107" customFormat="1" ht="15" customHeight="1">
      <c r="A33" s="108" t="s">
        <v>511</v>
      </c>
      <c r="B33" s="106">
        <f t="shared" ref="B33:G33" si="39">B28/(B28+B27+B26)</f>
        <v>0</v>
      </c>
      <c r="C33" s="106">
        <f t="shared" si="39"/>
        <v>0</v>
      </c>
      <c r="D33" s="106">
        <f t="shared" si="39"/>
        <v>0</v>
      </c>
      <c r="E33" s="106">
        <f t="shared" si="39"/>
        <v>0.99363361635291669</v>
      </c>
      <c r="F33" s="106">
        <f t="shared" si="39"/>
        <v>0</v>
      </c>
      <c r="G33" s="106">
        <f t="shared" si="39"/>
        <v>0</v>
      </c>
      <c r="H33" s="106">
        <f t="shared" ref="H33:J33" si="40">H28/(H28+H27+H26)</f>
        <v>8.2223987864357057E-2</v>
      </c>
      <c r="I33" s="106">
        <f t="shared" si="40"/>
        <v>4.3744860235858947E-2</v>
      </c>
      <c r="J33" s="106">
        <f t="shared" si="40"/>
        <v>0.10122815940732524</v>
      </c>
      <c r="K33" s="106">
        <f t="shared" ref="K33:M33" si="41">K28/(K28+K27+K26)</f>
        <v>6.130785804291651E-2</v>
      </c>
      <c r="L33" s="106">
        <f t="shared" si="41"/>
        <v>3.4775895990426832E-2</v>
      </c>
      <c r="M33" s="106">
        <f t="shared" si="41"/>
        <v>4.2298087517561644E-2</v>
      </c>
    </row>
    <row r="34" spans="1:13" s="107" customFormat="1" ht="15" customHeight="1">
      <c r="A34" s="108" t="s">
        <v>510</v>
      </c>
      <c r="B34" s="106">
        <f t="shared" ref="B34:G34" si="42">B27/(B26+B27+B28)</f>
        <v>3.1023538526669757E-4</v>
      </c>
      <c r="C34" s="106">
        <f t="shared" si="42"/>
        <v>0</v>
      </c>
      <c r="D34" s="106">
        <f t="shared" si="42"/>
        <v>0</v>
      </c>
      <c r="E34" s="106">
        <f t="shared" si="42"/>
        <v>0</v>
      </c>
      <c r="F34" s="106">
        <f t="shared" si="42"/>
        <v>0</v>
      </c>
      <c r="G34" s="106">
        <f t="shared" si="42"/>
        <v>0.57632530941437365</v>
      </c>
      <c r="H34" s="106">
        <f t="shared" ref="H34:J34" si="43">H27/(H26+H27+H28)</f>
        <v>0.89676379358288949</v>
      </c>
      <c r="I34" s="106">
        <f t="shared" si="43"/>
        <v>0.93701043680367313</v>
      </c>
      <c r="J34" s="106">
        <f t="shared" si="43"/>
        <v>0.88006828358490607</v>
      </c>
      <c r="K34" s="106">
        <f t="shared" ref="K34:M34" si="44">K27/(K26+K27+K28)</f>
        <v>0.91031280158308914</v>
      </c>
      <c r="L34" s="106">
        <f t="shared" si="44"/>
        <v>0.93041607060364051</v>
      </c>
      <c r="M34" s="106">
        <f t="shared" si="44"/>
        <v>0.93431706905363043</v>
      </c>
    </row>
    <row r="35" spans="1:13" s="109" customFormat="1" ht="15" customHeight="1">
      <c r="A35" s="110" t="s">
        <v>509</v>
      </c>
      <c r="B35" s="105">
        <f t="shared" ref="B35:G35" si="45">B19/(B19+B17)</f>
        <v>0.68045549369913527</v>
      </c>
      <c r="C35" s="105">
        <f t="shared" si="45"/>
        <v>0.18095427749778165</v>
      </c>
      <c r="D35" s="105">
        <f t="shared" si="45"/>
        <v>0.3591112524706363</v>
      </c>
      <c r="E35" s="105">
        <f t="shared" si="45"/>
        <v>0</v>
      </c>
      <c r="F35" s="105">
        <f t="shared" si="45"/>
        <v>4.8555597679873653E-3</v>
      </c>
      <c r="G35" s="105">
        <f t="shared" si="45"/>
        <v>0.66526022946207819</v>
      </c>
      <c r="H35" s="105">
        <f t="shared" ref="H35:J35" si="46">H19/(H19+H17)</f>
        <v>8.9370661454088729E-2</v>
      </c>
      <c r="I35" s="105">
        <f t="shared" si="46"/>
        <v>9.8777367798251914E-2</v>
      </c>
      <c r="J35" s="105">
        <f t="shared" si="46"/>
        <v>9.1050075798448996E-2</v>
      </c>
      <c r="K35" s="105">
        <f t="shared" ref="K35:M35" si="47">K19/(K19+K17)</f>
        <v>0.12789996700102702</v>
      </c>
      <c r="L35" s="105">
        <f t="shared" si="47"/>
        <v>0.15312884763957707</v>
      </c>
      <c r="M35" s="105">
        <f t="shared" si="47"/>
        <v>0.12163581204801679</v>
      </c>
    </row>
    <row r="36" spans="1:13" s="109" customFormat="1" ht="15" customHeight="1">
      <c r="A36" s="110" t="s">
        <v>508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</row>
    <row r="37" spans="1:13" s="109" customFormat="1" ht="15" customHeight="1">
      <c r="A37" s="110" t="s">
        <v>507</v>
      </c>
      <c r="B37" s="105">
        <f t="shared" ref="B37:G37" si="48">B51*B63</f>
        <v>6.4764968968152742E-4</v>
      </c>
      <c r="C37" s="105">
        <f t="shared" si="48"/>
        <v>0</v>
      </c>
      <c r="D37" s="105">
        <f t="shared" si="48"/>
        <v>0</v>
      </c>
      <c r="E37" s="105">
        <f t="shared" si="48"/>
        <v>0</v>
      </c>
      <c r="F37" s="105">
        <f t="shared" si="48"/>
        <v>0.99996623142077268</v>
      </c>
      <c r="G37" s="105">
        <f t="shared" si="48"/>
        <v>1.1003896005048398E-2</v>
      </c>
      <c r="H37" s="105">
        <f t="shared" ref="H37:J37" si="49">H51*H63</f>
        <v>1.9153614875353601E-2</v>
      </c>
      <c r="I37" s="105">
        <f t="shared" si="49"/>
        <v>1.2235487697880252E-2</v>
      </c>
      <c r="J37" s="105">
        <f t="shared" si="49"/>
        <v>2.2195917056697385E-2</v>
      </c>
      <c r="K37" s="105">
        <f t="shared" ref="K37:M37" si="50">K51*K63</f>
        <v>2.7528175233110089E-2</v>
      </c>
      <c r="L37" s="105">
        <f t="shared" si="50"/>
        <v>2.3375887779341138E-2</v>
      </c>
      <c r="M37" s="105">
        <f t="shared" si="50"/>
        <v>2.1016839580051704E-2</v>
      </c>
    </row>
    <row r="38" spans="1:13" s="109" customFormat="1" ht="15" customHeight="1">
      <c r="A38" s="110" t="s">
        <v>506</v>
      </c>
      <c r="B38" s="105">
        <f t="shared" ref="B38:G38" si="51">B52*B63</f>
        <v>0</v>
      </c>
      <c r="C38" s="105">
        <f t="shared" si="51"/>
        <v>0</v>
      </c>
      <c r="D38" s="105">
        <f t="shared" si="51"/>
        <v>0</v>
      </c>
      <c r="E38" s="105">
        <f t="shared" si="51"/>
        <v>0</v>
      </c>
      <c r="F38" s="105">
        <f t="shared" si="51"/>
        <v>0</v>
      </c>
      <c r="G38" s="105">
        <f t="shared" si="51"/>
        <v>0</v>
      </c>
      <c r="H38" s="105">
        <f t="shared" ref="H38:J38" si="52">H52*H63</f>
        <v>1.6742326248050037E-4</v>
      </c>
      <c r="I38" s="105">
        <f t="shared" si="52"/>
        <v>1.0471051225594251E-3</v>
      </c>
      <c r="J38" s="105">
        <f t="shared" si="52"/>
        <v>5.1351488613756119E-4</v>
      </c>
      <c r="K38" s="105">
        <f t="shared" ref="K38:M38" si="53">K52*K63</f>
        <v>5.5516645111195013E-3</v>
      </c>
      <c r="L38" s="105">
        <f t="shared" si="53"/>
        <v>1.8155145765796779E-3</v>
      </c>
      <c r="M38" s="105">
        <f t="shared" si="53"/>
        <v>2.8722680581627466E-3</v>
      </c>
    </row>
    <row r="39" spans="1:13" s="109" customFormat="1" ht="15" customHeight="1">
      <c r="A39" s="110" t="s">
        <v>505</v>
      </c>
      <c r="B39" s="105">
        <f t="shared" ref="B39:G39" si="54">B53*B63</f>
        <v>0</v>
      </c>
      <c r="C39" s="105">
        <f t="shared" si="54"/>
        <v>0</v>
      </c>
      <c r="D39" s="105">
        <f t="shared" si="54"/>
        <v>0</v>
      </c>
      <c r="E39" s="105">
        <f t="shared" si="54"/>
        <v>0</v>
      </c>
      <c r="F39" s="105">
        <f t="shared" si="54"/>
        <v>0</v>
      </c>
      <c r="G39" s="105">
        <f t="shared" si="54"/>
        <v>0</v>
      </c>
      <c r="H39" s="105">
        <f t="shared" ref="H39:J39" si="55">H53*H63</f>
        <v>3.0369532874694041E-2</v>
      </c>
      <c r="I39" s="105">
        <f t="shared" si="55"/>
        <v>2.5623823112390975E-2</v>
      </c>
      <c r="J39" s="105">
        <f t="shared" si="55"/>
        <v>2.7399410626546977E-2</v>
      </c>
      <c r="K39" s="105">
        <f t="shared" ref="K39:M39" si="56">K53*K63</f>
        <v>9.6432357447377801E-3</v>
      </c>
      <c r="L39" s="105">
        <f t="shared" si="56"/>
        <v>1.253978094502313E-2</v>
      </c>
      <c r="M39" s="105">
        <f t="shared" si="56"/>
        <v>1.4485898091867145E-2</v>
      </c>
    </row>
    <row r="40" spans="1:13" s="109" customFormat="1" ht="15" customHeight="1">
      <c r="A40" s="110" t="s">
        <v>504</v>
      </c>
      <c r="B40" s="105">
        <f t="shared" ref="B40:G40" si="57">B54*B63</f>
        <v>0</v>
      </c>
      <c r="C40" s="105">
        <f t="shared" si="57"/>
        <v>0</v>
      </c>
      <c r="D40" s="105">
        <f t="shared" si="57"/>
        <v>0</v>
      </c>
      <c r="E40" s="105">
        <f t="shared" si="57"/>
        <v>0</v>
      </c>
      <c r="F40" s="105">
        <f t="shared" si="57"/>
        <v>0</v>
      </c>
      <c r="G40" s="105">
        <f t="shared" si="57"/>
        <v>0</v>
      </c>
      <c r="H40" s="105">
        <f t="shared" ref="H40:J40" si="58">H54*H63</f>
        <v>1.5552715354913592E-2</v>
      </c>
      <c r="I40" s="105">
        <f t="shared" si="58"/>
        <v>1.2767366963170506E-2</v>
      </c>
      <c r="J40" s="105">
        <f t="shared" si="58"/>
        <v>1.501453189214298E-2</v>
      </c>
      <c r="K40" s="105">
        <f t="shared" ref="K40:M40" si="59">K54*K63</f>
        <v>1.5661218034880676E-2</v>
      </c>
      <c r="L40" s="105">
        <f t="shared" si="59"/>
        <v>1.1173312676588713E-2</v>
      </c>
      <c r="M40" s="105">
        <f t="shared" si="59"/>
        <v>1.3389198636064087E-2</v>
      </c>
    </row>
    <row r="41" spans="1:13" s="109" customFormat="1" ht="15" customHeight="1">
      <c r="A41" s="110" t="s">
        <v>503</v>
      </c>
      <c r="B41" s="105">
        <f t="shared" ref="B41:G41" si="60">B55*B63</f>
        <v>0</v>
      </c>
      <c r="C41" s="105">
        <f t="shared" si="60"/>
        <v>0</v>
      </c>
      <c r="D41" s="105">
        <f t="shared" si="60"/>
        <v>0.73274432908396669</v>
      </c>
      <c r="E41" s="105">
        <f t="shared" si="60"/>
        <v>0</v>
      </c>
      <c r="F41" s="105">
        <f t="shared" si="60"/>
        <v>0</v>
      </c>
      <c r="G41" s="105">
        <f t="shared" si="60"/>
        <v>0</v>
      </c>
      <c r="H41" s="105">
        <f t="shared" ref="H41:J41" si="61">H55*H63</f>
        <v>7.7608892329670614E-3</v>
      </c>
      <c r="I41" s="105">
        <f t="shared" si="61"/>
        <v>1.1272704081137071E-2</v>
      </c>
      <c r="J41" s="105">
        <f t="shared" si="61"/>
        <v>5.0624889520197881E-3</v>
      </c>
      <c r="K41" s="105">
        <f t="shared" ref="K41:M41" si="62">K55*K63</f>
        <v>4.4638432697324112E-3</v>
      </c>
      <c r="L41" s="105">
        <f t="shared" si="62"/>
        <v>1.2551369320796216E-2</v>
      </c>
      <c r="M41" s="105">
        <f t="shared" si="62"/>
        <v>8.0086471678733756E-3</v>
      </c>
    </row>
    <row r="42" spans="1:13" s="109" customFormat="1" ht="15" customHeight="1">
      <c r="A42" s="110" t="s">
        <v>502</v>
      </c>
      <c r="B42" s="105">
        <f t="shared" ref="B42:G42" si="63">B56*B63</f>
        <v>3.6463389633324222E-4</v>
      </c>
      <c r="C42" s="105">
        <f t="shared" si="63"/>
        <v>6.7497739569908561E-3</v>
      </c>
      <c r="D42" s="105">
        <f t="shared" si="63"/>
        <v>2.4267912958034462E-3</v>
      </c>
      <c r="E42" s="105">
        <f t="shared" si="63"/>
        <v>0</v>
      </c>
      <c r="F42" s="105">
        <f t="shared" si="63"/>
        <v>0</v>
      </c>
      <c r="G42" s="105">
        <f t="shared" si="63"/>
        <v>1.1616214576798164E-2</v>
      </c>
      <c r="H42" s="105">
        <f t="shared" ref="H42:J42" si="64">H56*H63</f>
        <v>3.9744734184544613E-3</v>
      </c>
      <c r="I42" s="105">
        <f t="shared" si="64"/>
        <v>5.6167555106759106E-3</v>
      </c>
      <c r="J42" s="105">
        <f t="shared" si="64"/>
        <v>2.7741801770756521E-3</v>
      </c>
      <c r="K42" s="105">
        <f t="shared" ref="K42:M42" si="65">K56*K63</f>
        <v>7.2495606839190615E-3</v>
      </c>
      <c r="L42" s="105">
        <f t="shared" si="65"/>
        <v>1.1183638259347628E-2</v>
      </c>
      <c r="M42" s="105">
        <f t="shared" si="65"/>
        <v>7.4023279093072426E-3</v>
      </c>
    </row>
    <row r="43" spans="1:13" s="109" customFormat="1" ht="15" customHeight="1">
      <c r="A43" s="110" t="s">
        <v>501</v>
      </c>
      <c r="B43" s="105">
        <f t="shared" ref="B43:G43" si="66">B57*B63</f>
        <v>2.5392403995090564E-4</v>
      </c>
      <c r="C43" s="105">
        <f t="shared" si="66"/>
        <v>0</v>
      </c>
      <c r="D43" s="105">
        <f t="shared" si="66"/>
        <v>0</v>
      </c>
      <c r="E43" s="105">
        <f t="shared" si="66"/>
        <v>0</v>
      </c>
      <c r="F43" s="105">
        <f t="shared" si="66"/>
        <v>0</v>
      </c>
      <c r="G43" s="105">
        <f t="shared" si="66"/>
        <v>0.44948707628019985</v>
      </c>
      <c r="H43" s="105">
        <f t="shared" ref="H43:J43" si="67">H57*H63</f>
        <v>7.9210168779037023E-3</v>
      </c>
      <c r="I43" s="105">
        <f t="shared" si="67"/>
        <v>1.0370794466699943E-2</v>
      </c>
      <c r="J43" s="105">
        <f t="shared" si="67"/>
        <v>8.1408317019516091E-3</v>
      </c>
      <c r="K43" s="105">
        <f t="shared" ref="K43:M43" si="68">K57*K63</f>
        <v>1.787997498649976E-2</v>
      </c>
      <c r="L43" s="105">
        <f t="shared" si="68"/>
        <v>2.7357566402786269E-2</v>
      </c>
      <c r="M43" s="105">
        <f t="shared" si="68"/>
        <v>1.6426499817704335E-2</v>
      </c>
    </row>
    <row r="44" spans="1:13" s="109" customFormat="1" ht="15" customHeight="1">
      <c r="A44" s="110" t="s">
        <v>500</v>
      </c>
      <c r="B44" s="105">
        <f t="shared" ref="B44:G44" si="69">B58*B63</f>
        <v>5.5997299127485496E-5</v>
      </c>
      <c r="C44" s="105">
        <f t="shared" si="69"/>
        <v>0</v>
      </c>
      <c r="D44" s="105">
        <f t="shared" si="69"/>
        <v>0</v>
      </c>
      <c r="E44" s="105">
        <f t="shared" si="69"/>
        <v>0</v>
      </c>
      <c r="F44" s="105">
        <f t="shared" si="69"/>
        <v>0</v>
      </c>
      <c r="G44" s="105">
        <f t="shared" si="69"/>
        <v>0.11380169090410372</v>
      </c>
      <c r="H44" s="105">
        <f t="shared" ref="H44:J44" si="70">H58*H63</f>
        <v>0.82238327734544792</v>
      </c>
      <c r="I44" s="105">
        <f t="shared" si="70"/>
        <v>0.86329914023839016</v>
      </c>
      <c r="J44" s="105">
        <f t="shared" si="70"/>
        <v>0.81131231586671937</v>
      </c>
      <c r="K44" s="105">
        <f t="shared" ref="K44:M44" si="71">K58*K63</f>
        <v>0.83130166029686781</v>
      </c>
      <c r="L44" s="105">
        <f t="shared" si="71"/>
        <v>0.83675460718195371</v>
      </c>
      <c r="M44" s="105">
        <f t="shared" si="71"/>
        <v>0.85658675912671323</v>
      </c>
    </row>
    <row r="45" spans="1:13" s="109" customFormat="1" ht="15" customHeight="1">
      <c r="A45" s="110" t="s">
        <v>499</v>
      </c>
      <c r="B45" s="105">
        <f t="shared" ref="B45:G45" si="72">B59*B63</f>
        <v>0</v>
      </c>
      <c r="C45" s="105">
        <f t="shared" si="72"/>
        <v>0</v>
      </c>
      <c r="D45" s="105">
        <f t="shared" si="72"/>
        <v>0</v>
      </c>
      <c r="E45" s="105">
        <f t="shared" si="72"/>
        <v>0</v>
      </c>
      <c r="F45" s="105">
        <f t="shared" si="72"/>
        <v>0</v>
      </c>
      <c r="G45" s="105">
        <f t="shared" si="72"/>
        <v>0</v>
      </c>
      <c r="H45" s="105">
        <f t="shared" ref="H45:J45" si="73">H59*H63</f>
        <v>7.2627552573231865E-4</v>
      </c>
      <c r="I45" s="105">
        <f t="shared" si="73"/>
        <v>4.8416638349105517E-4</v>
      </c>
      <c r="J45" s="105">
        <f t="shared" si="73"/>
        <v>9.3638348819539031E-4</v>
      </c>
      <c r="K45" s="105">
        <f t="shared" ref="K45:M45" si="74">K59*K63</f>
        <v>1.2041827450705921E-3</v>
      </c>
      <c r="L45" s="105">
        <f t="shared" si="74"/>
        <v>1.0225359533582075E-3</v>
      </c>
      <c r="M45" s="105">
        <f t="shared" si="74"/>
        <v>7.4365496458310551E-4</v>
      </c>
    </row>
    <row r="46" spans="1:13" s="109" customFormat="1" ht="15" customHeight="1">
      <c r="A46" s="110" t="s">
        <v>498</v>
      </c>
      <c r="B46" s="105">
        <f t="shared" ref="B46:G46" si="75">B60*B63</f>
        <v>0</v>
      </c>
      <c r="C46" s="105">
        <f t="shared" si="75"/>
        <v>0</v>
      </c>
      <c r="D46" s="105">
        <f t="shared" si="75"/>
        <v>0</v>
      </c>
      <c r="E46" s="105">
        <f t="shared" si="75"/>
        <v>0.99363361635291669</v>
      </c>
      <c r="F46" s="105">
        <f t="shared" si="75"/>
        <v>0</v>
      </c>
      <c r="G46" s="105">
        <f t="shared" si="75"/>
        <v>0</v>
      </c>
      <c r="H46" s="105">
        <f t="shared" ref="H46:J46" si="76">H60*H63</f>
        <v>7.2535786036711833E-2</v>
      </c>
      <c r="I46" s="105">
        <f t="shared" si="76"/>
        <v>3.9338866559059271E-2</v>
      </c>
      <c r="J46" s="105">
        <f t="shared" si="76"/>
        <v>8.9235085035608036E-2</v>
      </c>
      <c r="K46" s="105">
        <f t="shared" ref="K46:M46" si="77">K60*K63</f>
        <v>5.3042930980213329E-2</v>
      </c>
      <c r="L46" s="105">
        <f t="shared" si="77"/>
        <v>2.9898265535106598E-2</v>
      </c>
      <c r="M46" s="105">
        <f t="shared" si="77"/>
        <v>3.721742457056923E-2</v>
      </c>
    </row>
    <row r="47" spans="1:13" s="109" customFormat="1" ht="15" customHeight="1">
      <c r="A47" s="110" t="s">
        <v>497</v>
      </c>
      <c r="B47" s="105">
        <f t="shared" ref="B47:G47" si="78">B61*B63</f>
        <v>0.81823439808557585</v>
      </c>
      <c r="C47" s="105">
        <f t="shared" si="78"/>
        <v>4.6225613159580126E-2</v>
      </c>
      <c r="D47" s="105">
        <f t="shared" si="78"/>
        <v>6.3280737662830641E-2</v>
      </c>
      <c r="E47" s="105">
        <f t="shared" si="78"/>
        <v>0</v>
      </c>
      <c r="F47" s="105">
        <f t="shared" si="78"/>
        <v>3.3768579227225278E-5</v>
      </c>
      <c r="G47" s="105">
        <f t="shared" si="78"/>
        <v>0.33043195371510087</v>
      </c>
      <c r="H47" s="105">
        <f t="shared" ref="H47:J47" si="79">H61*H63</f>
        <v>1.8559863699847009E-4</v>
      </c>
      <c r="I47" s="105">
        <f t="shared" si="79"/>
        <v>2.1299961146272985E-4</v>
      </c>
      <c r="J47" s="105">
        <f t="shared" si="79"/>
        <v>1.7301215447495667E-4</v>
      </c>
      <c r="K47" s="105">
        <f t="shared" ref="K47:M47" si="80">K61*K63</f>
        <v>5.5741487446726585E-4</v>
      </c>
      <c r="L47" s="105">
        <f t="shared" si="80"/>
        <v>1.023480908530946E-3</v>
      </c>
      <c r="M47" s="105">
        <f t="shared" si="80"/>
        <v>4.1113572580820306E-4</v>
      </c>
    </row>
    <row r="48" spans="1:13" s="109" customFormat="1" ht="15" customHeight="1">
      <c r="A48" s="110" t="s">
        <v>496</v>
      </c>
      <c r="B48" s="105">
        <f t="shared" ref="B48:G48" si="81">B62*B63</f>
        <v>0.18044339698933107</v>
      </c>
      <c r="C48" s="105">
        <f t="shared" si="81"/>
        <v>0.94702461288342898</v>
      </c>
      <c r="D48" s="105">
        <f t="shared" si="81"/>
        <v>0.20154814195739915</v>
      </c>
      <c r="E48" s="105">
        <f t="shared" si="81"/>
        <v>6.3663836470833233E-3</v>
      </c>
      <c r="F48" s="105">
        <f t="shared" si="81"/>
        <v>0.56906116124437311</v>
      </c>
      <c r="G48" s="105">
        <f t="shared" si="81"/>
        <v>8.3659168518748994E-2</v>
      </c>
      <c r="H48" s="105">
        <f t="shared" ref="H48:J48" si="82">H62*H63</f>
        <v>1.9269396558342436E-2</v>
      </c>
      <c r="I48" s="105">
        <f t="shared" si="82"/>
        <v>1.7730790253082555E-2</v>
      </c>
      <c r="J48" s="105">
        <f t="shared" si="82"/>
        <v>1.7242328162430553E-2</v>
      </c>
      <c r="K48" s="105">
        <f t="shared" ref="K48:M48" si="83">K62*K63</f>
        <v>2.59161386393819E-2</v>
      </c>
      <c r="L48" s="105">
        <f t="shared" si="83"/>
        <v>3.1304040460587872E-2</v>
      </c>
      <c r="M48" s="105">
        <f t="shared" si="83"/>
        <v>2.1439346351295619E-2</v>
      </c>
    </row>
    <row r="49" spans="1:13" s="109" customFormat="1" ht="15" customHeight="1">
      <c r="A49" s="110" t="s">
        <v>476</v>
      </c>
      <c r="B49" s="105">
        <f t="shared" ref="B49:G49" si="84">SUM(B37:B48)</f>
        <v>1</v>
      </c>
      <c r="C49" s="105">
        <f t="shared" si="84"/>
        <v>1</v>
      </c>
      <c r="D49" s="105">
        <f t="shared" si="84"/>
        <v>0.99999999999999989</v>
      </c>
      <c r="E49" s="105">
        <f t="shared" si="84"/>
        <v>1</v>
      </c>
      <c r="F49" s="105">
        <f t="shared" si="84"/>
        <v>1.569061161244373</v>
      </c>
      <c r="G49" s="105">
        <f t="shared" si="84"/>
        <v>0.99999999999999989</v>
      </c>
      <c r="H49" s="105">
        <f t="shared" ref="H49:J49" si="85">SUM(H37:H48)</f>
        <v>1</v>
      </c>
      <c r="I49" s="105">
        <f t="shared" si="85"/>
        <v>0.99999999999999978</v>
      </c>
      <c r="J49" s="105">
        <f t="shared" si="85"/>
        <v>1.0000000000000002</v>
      </c>
      <c r="K49" s="105">
        <f t="shared" ref="K49:M49" si="86">SUM(K37:K48)</f>
        <v>1</v>
      </c>
      <c r="L49" s="105">
        <f t="shared" si="86"/>
        <v>1</v>
      </c>
      <c r="M49" s="105">
        <f t="shared" si="86"/>
        <v>1</v>
      </c>
    </row>
    <row r="50" spans="1:13" s="109" customFormat="1" ht="15" customHeight="1">
      <c r="A50" s="110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</row>
    <row r="51" spans="1:13" s="109" customFormat="1" ht="15" customHeight="1">
      <c r="A51" s="110" t="s">
        <v>507</v>
      </c>
      <c r="B51" s="105">
        <f>B25</f>
        <v>3.8489118348020748E-4</v>
      </c>
      <c r="C51" s="105">
        <f>C25</f>
        <v>0</v>
      </c>
      <c r="D51" s="105">
        <f>D25</f>
        <v>0</v>
      </c>
      <c r="E51" s="105">
        <f>E25</f>
        <v>0</v>
      </c>
      <c r="F51" s="105">
        <f>F25*3</f>
        <v>1.7572210151086995</v>
      </c>
      <c r="G51" s="105">
        <f>G25</f>
        <v>7.429325529067699E-3</v>
      </c>
      <c r="H51" s="105">
        <f t="shared" ref="H51:J51" si="87">H25</f>
        <v>1.901937248091232E-2</v>
      </c>
      <c r="I51" s="105">
        <f t="shared" si="87"/>
        <v>1.1968410985590943E-2</v>
      </c>
      <c r="J51" s="105">
        <f t="shared" si="87"/>
        <v>2.1884738027072071E-2</v>
      </c>
      <c r="K51" s="105">
        <f t="shared" ref="K51:M51" si="88">K25</f>
        <v>2.6289100664441813E-2</v>
      </c>
      <c r="L51" s="105">
        <f t="shared" si="88"/>
        <v>2.2012255441574011E-2</v>
      </c>
      <c r="M51" s="105">
        <f t="shared" si="88"/>
        <v>2.0135617661637368E-2</v>
      </c>
    </row>
    <row r="52" spans="1:13" s="109" customFormat="1" ht="15" customHeight="1">
      <c r="A52" s="110" t="s">
        <v>506</v>
      </c>
      <c r="B52" s="105">
        <f>B22</f>
        <v>0</v>
      </c>
      <c r="C52" s="105">
        <f>C22</f>
        <v>0</v>
      </c>
      <c r="D52" s="105">
        <f>D22</f>
        <v>0</v>
      </c>
      <c r="E52" s="105">
        <f>E22</f>
        <v>0</v>
      </c>
      <c r="F52" s="105">
        <f>F22*3</f>
        <v>0</v>
      </c>
      <c r="G52" s="105">
        <f>G22</f>
        <v>0</v>
      </c>
      <c r="H52" s="105">
        <f t="shared" ref="H52:J52" si="89">H22</f>
        <v>1.6624983909348877E-4</v>
      </c>
      <c r="I52" s="105">
        <f t="shared" si="89"/>
        <v>1.0242488702824591E-3</v>
      </c>
      <c r="J52" s="105">
        <f t="shared" si="89"/>
        <v>5.0631558621414474E-4</v>
      </c>
      <c r="K52" s="105">
        <f t="shared" ref="K52:M52" si="90">K22</f>
        <v>5.3017777586829434E-3</v>
      </c>
      <c r="L52" s="105">
        <f t="shared" si="90"/>
        <v>1.7096065396451587E-3</v>
      </c>
      <c r="M52" s="105">
        <f t="shared" si="90"/>
        <v>2.751835794369059E-3</v>
      </c>
    </row>
    <row r="53" spans="1:13" s="109" customFormat="1" ht="15" customHeight="1">
      <c r="A53" s="110" t="s">
        <v>505</v>
      </c>
      <c r="B53" s="105">
        <f t="shared" ref="B53:G53" si="91">(B33/(B33+B32))*B21</f>
        <v>0</v>
      </c>
      <c r="C53" s="105">
        <f t="shared" si="91"/>
        <v>0</v>
      </c>
      <c r="D53" s="105">
        <f t="shared" si="91"/>
        <v>0</v>
      </c>
      <c r="E53" s="105">
        <f t="shared" si="91"/>
        <v>0</v>
      </c>
      <c r="F53" s="105">
        <f t="shared" si="91"/>
        <v>0</v>
      </c>
      <c r="G53" s="105">
        <f t="shared" si="91"/>
        <v>0</v>
      </c>
      <c r="H53" s="105">
        <f t="shared" ref="H53:J53" si="92">(H33/(H33+H32))*H21</f>
        <v>3.0156681209998197E-2</v>
      </c>
      <c r="I53" s="105">
        <f t="shared" si="92"/>
        <v>2.506450528198477E-2</v>
      </c>
      <c r="J53" s="105">
        <f t="shared" si="92"/>
        <v>2.7015280428668905E-2</v>
      </c>
      <c r="K53" s="105">
        <f t="shared" ref="K53:M53" si="93">(K33/(K33+K32))*K21</f>
        <v>9.2091827038153322E-3</v>
      </c>
      <c r="L53" s="105">
        <f t="shared" si="93"/>
        <v>1.1808272864279275E-2</v>
      </c>
      <c r="M53" s="105">
        <f t="shared" si="93"/>
        <v>1.3878514148251473E-2</v>
      </c>
    </row>
    <row r="54" spans="1:13" s="109" customFormat="1" ht="15" customHeight="1">
      <c r="A54" s="110" t="s">
        <v>504</v>
      </c>
      <c r="B54" s="105">
        <f t="shared" ref="B54:G54" si="94">((B33/(B33+B32)*B18))</f>
        <v>0</v>
      </c>
      <c r="C54" s="105">
        <f t="shared" si="94"/>
        <v>0</v>
      </c>
      <c r="D54" s="105">
        <f t="shared" si="94"/>
        <v>0</v>
      </c>
      <c r="E54" s="105">
        <f t="shared" si="94"/>
        <v>0</v>
      </c>
      <c r="F54" s="105">
        <f t="shared" si="94"/>
        <v>0</v>
      </c>
      <c r="G54" s="105">
        <f t="shared" si="94"/>
        <v>0</v>
      </c>
      <c r="H54" s="105">
        <f t="shared" ref="H54:J54" si="95">((H33/(H33+H32)*H18))</f>
        <v>1.5443710670268196E-2</v>
      </c>
      <c r="I54" s="105">
        <f t="shared" si="95"/>
        <v>1.2488680369116273E-2</v>
      </c>
      <c r="J54" s="105">
        <f t="shared" si="95"/>
        <v>1.4804033382325131E-2</v>
      </c>
      <c r="K54" s="105">
        <f t="shared" ref="K54:M54" si="96">((K33/(K33+K32)*K18))</f>
        <v>1.4956288746358517E-2</v>
      </c>
      <c r="L54" s="105">
        <f t="shared" si="96"/>
        <v>1.0521517517850611E-2</v>
      </c>
      <c r="M54" s="105">
        <f t="shared" si="96"/>
        <v>1.2827798561463813E-2</v>
      </c>
    </row>
    <row r="55" spans="1:13" s="109" customFormat="1" ht="15" customHeight="1">
      <c r="A55" s="110" t="s">
        <v>503</v>
      </c>
      <c r="B55" s="105">
        <f t="shared" ref="B55:G55" si="97">((B32/(B32+B33)*B21))</f>
        <v>0</v>
      </c>
      <c r="C55" s="105">
        <f t="shared" si="97"/>
        <v>0</v>
      </c>
      <c r="D55" s="105">
        <f t="shared" si="97"/>
        <v>0.5969779150232265</v>
      </c>
      <c r="E55" s="105">
        <f t="shared" si="97"/>
        <v>0</v>
      </c>
      <c r="F55" s="105">
        <f t="shared" si="97"/>
        <v>0</v>
      </c>
      <c r="G55" s="105">
        <f t="shared" si="97"/>
        <v>0</v>
      </c>
      <c r="H55" s="105">
        <f t="shared" ref="H55:J55" si="98">((H32/(H32+H33)*H21))</f>
        <v>7.7064953046977998E-3</v>
      </c>
      <c r="I55" s="105">
        <f t="shared" si="98"/>
        <v>1.1026643047940826E-2</v>
      </c>
      <c r="J55" s="105">
        <f t="shared" si="98"/>
        <v>4.9915146194182414E-3</v>
      </c>
      <c r="K55" s="105">
        <f t="shared" ref="K55:M55" si="99">((K32/(K32+K33)*K21))</f>
        <v>4.2629205922498185E-3</v>
      </c>
      <c r="L55" s="105">
        <f t="shared" si="99"/>
        <v>1.1819185232189236E-2</v>
      </c>
      <c r="M55" s="105">
        <f t="shared" si="99"/>
        <v>7.6728499898868477E-3</v>
      </c>
    </row>
    <row r="56" spans="1:13" s="109" customFormat="1" ht="15" customHeight="1">
      <c r="A56" s="110" t="s">
        <v>502</v>
      </c>
      <c r="B56" s="105">
        <f t="shared" ref="B56:G56" si="100">((B32/(B32+B33)*B18))</f>
        <v>2.1669796825767531E-4</v>
      </c>
      <c r="C56" s="105">
        <f t="shared" si="100"/>
        <v>4.7377999751947366E-3</v>
      </c>
      <c r="D56" s="105">
        <f t="shared" si="100"/>
        <v>1.9771436645253672E-3</v>
      </c>
      <c r="E56" s="105">
        <f t="shared" si="100"/>
        <v>0</v>
      </c>
      <c r="F56" s="105">
        <f t="shared" si="100"/>
        <v>0</v>
      </c>
      <c r="G56" s="105">
        <f t="shared" si="100"/>
        <v>7.8427349246977338E-3</v>
      </c>
      <c r="H56" s="105">
        <f t="shared" ref="H56:J56" si="101">((H32/(H32+H33)*H18))</f>
        <v>3.9466174324273486E-3</v>
      </c>
      <c r="I56" s="105">
        <f t="shared" si="101"/>
        <v>5.4941527479119819E-3</v>
      </c>
      <c r="J56" s="105">
        <f t="shared" si="101"/>
        <v>2.7352871368240125E-3</v>
      </c>
      <c r="K56" s="105">
        <f t="shared" ref="K56:M56" si="102">((K32/(K32+K33)*K18))</f>
        <v>6.9232496879523793E-3</v>
      </c>
      <c r="L56" s="105">
        <f t="shared" si="102"/>
        <v>1.0531240757772784E-2</v>
      </c>
      <c r="M56" s="105">
        <f t="shared" si="102"/>
        <v>7.0919532891781933E-3</v>
      </c>
    </row>
    <row r="57" spans="1:13" s="109" customFormat="1" ht="15" customHeight="1">
      <c r="A57" s="110" t="s">
        <v>501</v>
      </c>
      <c r="B57" s="105">
        <f t="shared" ref="B57:G57" si="103">B34*B35*B19</f>
        <v>1.5090430182841352E-4</v>
      </c>
      <c r="C57" s="105">
        <f t="shared" si="103"/>
        <v>0</v>
      </c>
      <c r="D57" s="105">
        <f t="shared" si="103"/>
        <v>0</v>
      </c>
      <c r="E57" s="105">
        <f t="shared" si="103"/>
        <v>0</v>
      </c>
      <c r="F57" s="105">
        <f t="shared" si="103"/>
        <v>0</v>
      </c>
      <c r="G57" s="105">
        <f t="shared" si="103"/>
        <v>0.30347304348045784</v>
      </c>
      <c r="H57" s="105">
        <f t="shared" ref="H57:J57" si="104">H34*H35*H19</f>
        <v>7.8655006592149856E-3</v>
      </c>
      <c r="I57" s="105">
        <f t="shared" si="104"/>
        <v>1.0144420352452398E-2</v>
      </c>
      <c r="J57" s="105">
        <f t="shared" si="104"/>
        <v>8.0267000757211927E-3</v>
      </c>
      <c r="K57" s="105">
        <f t="shared" ref="K57:M57" si="105">K34*K35*K19</f>
        <v>1.7075176916646229E-2</v>
      </c>
      <c r="L57" s="105">
        <f t="shared" si="105"/>
        <v>2.5761662855438631E-2</v>
      </c>
      <c r="M57" s="105">
        <f t="shared" si="105"/>
        <v>1.5737747751673931E-2</v>
      </c>
    </row>
    <row r="58" spans="1:13" s="109" customFormat="1" ht="15" customHeight="1">
      <c r="A58" s="110" t="s">
        <v>500</v>
      </c>
      <c r="B58" s="105">
        <f>B34*(1-B35)*B17</f>
        <v>3.3278587292261964E-5</v>
      </c>
      <c r="C58" s="105">
        <f>C34*(1-C35)*C17</f>
        <v>0</v>
      </c>
      <c r="D58" s="105">
        <f>D34*(1-D35)*D17</f>
        <v>0</v>
      </c>
      <c r="E58" s="105">
        <f>E34*(1-E35)*E17</f>
        <v>0</v>
      </c>
      <c r="F58" s="105">
        <f>IF(F34*(1-F35)*(F17-2*F25)&gt;0,F34*(1-F35)*(F17-2*F25)&gt;0,0)</f>
        <v>0</v>
      </c>
      <c r="G58" s="105">
        <f>G34*(1-G35)*G17</f>
        <v>7.6833678462341168E-2</v>
      </c>
      <c r="H58" s="105">
        <f t="shared" ref="H58:J58" si="106">H34*(1-H35)*H17</f>
        <v>0.81661942018230849</v>
      </c>
      <c r="I58" s="105">
        <f t="shared" si="106"/>
        <v>0.84445501225671593</v>
      </c>
      <c r="J58" s="105">
        <f t="shared" si="106"/>
        <v>0.79993799965668944</v>
      </c>
      <c r="K58" s="105">
        <f t="shared" ref="K58:M58" si="107">K34*(1-K35)*K17</f>
        <v>0.7938838242999996</v>
      </c>
      <c r="L58" s="105">
        <f t="shared" si="107"/>
        <v>0.78794252988676139</v>
      </c>
      <c r="M58" s="105">
        <f t="shared" si="107"/>
        <v>0.82067065364896918</v>
      </c>
    </row>
    <row r="59" spans="1:13" s="109" customFormat="1" ht="15" customHeight="1">
      <c r="A59" s="110" t="s">
        <v>499</v>
      </c>
      <c r="B59" s="105">
        <f t="shared" ref="B59:G59" si="108">B33*B35*B19</f>
        <v>0</v>
      </c>
      <c r="C59" s="105">
        <f t="shared" si="108"/>
        <v>0</v>
      </c>
      <c r="D59" s="105">
        <f t="shared" si="108"/>
        <v>0</v>
      </c>
      <c r="E59" s="105">
        <f t="shared" si="108"/>
        <v>0</v>
      </c>
      <c r="F59" s="105">
        <f t="shared" si="108"/>
        <v>0</v>
      </c>
      <c r="G59" s="105">
        <f t="shared" si="108"/>
        <v>0</v>
      </c>
      <c r="H59" s="105">
        <f t="shared" ref="H59:J59" si="109">H33*H35*H19</f>
        <v>7.2118526124528111E-4</v>
      </c>
      <c r="I59" s="105">
        <f t="shared" si="109"/>
        <v>4.7359798040842217E-4</v>
      </c>
      <c r="J59" s="105">
        <f t="shared" si="109"/>
        <v>9.232557176928471E-4</v>
      </c>
      <c r="K59" s="105">
        <f t="shared" ref="K59:M59" si="110">K33*K35*K19</f>
        <v>1.1499811061021106E-3</v>
      </c>
      <c r="L59" s="105">
        <f t="shared" si="110"/>
        <v>9.6288632183657251E-4</v>
      </c>
      <c r="M59" s="105">
        <f t="shared" si="110"/>
        <v>7.1247401313547312E-4</v>
      </c>
    </row>
    <row r="60" spans="1:13" s="109" customFormat="1" ht="15" customHeight="1">
      <c r="A60" s="110" t="s">
        <v>498</v>
      </c>
      <c r="B60" s="105">
        <f t="shared" ref="B60:G60" si="111">IF(B33*(1-B35)*(B17-(2*B25))&gt;0,B33*(1-B35)*(B17-(2*B25)),0)</f>
        <v>0</v>
      </c>
      <c r="C60" s="105">
        <f t="shared" si="111"/>
        <v>0</v>
      </c>
      <c r="D60" s="105">
        <f t="shared" si="111"/>
        <v>0</v>
      </c>
      <c r="E60" s="105">
        <f t="shared" si="111"/>
        <v>0.99363361635291669</v>
      </c>
      <c r="F60" s="105">
        <f t="shared" si="111"/>
        <v>0</v>
      </c>
      <c r="G60" s="105">
        <f t="shared" si="111"/>
        <v>0</v>
      </c>
      <c r="H60" s="105">
        <f t="shared" ref="H60:J60" si="112">IF(H33*(1-H35)*(H17-(2*H25))&gt;0,H33*(1-H35)*(H17-(2*H25)),0)</f>
        <v>7.2027402754307093E-2</v>
      </c>
      <c r="I60" s="105">
        <f t="shared" si="112"/>
        <v>3.8480176214611327E-2</v>
      </c>
      <c r="J60" s="105">
        <f t="shared" si="112"/>
        <v>8.7984040210607933E-2</v>
      </c>
      <c r="K60" s="105">
        <f t="shared" ref="K60:M60" si="113">IF(K33*(1-K35)*(K17-(2*K25))&gt;0,K33*(1-K35)*(K17-(2*K25)),0)</f>
        <v>5.0655408150652226E-2</v>
      </c>
      <c r="L60" s="105">
        <f t="shared" si="113"/>
        <v>2.8154150312118098E-2</v>
      </c>
      <c r="M60" s="105">
        <f t="shared" si="113"/>
        <v>3.5656923042563696E-2</v>
      </c>
    </row>
    <row r="61" spans="1:13" s="109" customFormat="1" ht="15" customHeight="1">
      <c r="A61" s="110" t="s">
        <v>497</v>
      </c>
      <c r="B61" s="105">
        <f t="shared" ref="B61:G61" si="114">B32*B35*B19</f>
        <v>0.48626782481473196</v>
      </c>
      <c r="C61" s="105">
        <f t="shared" si="114"/>
        <v>3.244667307028707E-2</v>
      </c>
      <c r="D61" s="105">
        <f t="shared" si="114"/>
        <v>5.1555776457956635E-2</v>
      </c>
      <c r="E61" s="105">
        <f t="shared" si="114"/>
        <v>0</v>
      </c>
      <c r="F61" s="105">
        <f t="shared" si="114"/>
        <v>5.9340860925006914E-5</v>
      </c>
      <c r="G61" s="105">
        <f t="shared" si="114"/>
        <v>0.22309248908105417</v>
      </c>
      <c r="H61" s="105">
        <f t="shared" ref="H61:J61" si="115">H32*H35*H19</f>
        <v>1.842978274333904E-4</v>
      </c>
      <c r="I61" s="105">
        <f t="shared" si="115"/>
        <v>2.0835024746899045E-4</v>
      </c>
      <c r="J61" s="105">
        <f t="shared" si="115"/>
        <v>1.7058658430340763E-4</v>
      </c>
      <c r="K61" s="105">
        <f t="shared" ref="K61:M61" si="116">K32*K35*K19</f>
        <v>5.3232499512360779E-4</v>
      </c>
      <c r="L61" s="105">
        <f t="shared" si="116"/>
        <v>9.6377615305237509E-4</v>
      </c>
      <c r="M61" s="105">
        <f t="shared" si="116"/>
        <v>3.9389708192716697E-4</v>
      </c>
    </row>
    <row r="62" spans="1:13" s="109" customFormat="1" ht="15" customHeight="1">
      <c r="A62" s="110" t="s">
        <v>496</v>
      </c>
      <c r="B62" s="105">
        <f>B32*(1-B35)*B17</f>
        <v>0.10723555299248907</v>
      </c>
      <c r="C62" s="105">
        <f>C32*(1-C35)*C17</f>
        <v>0.66473532536313251</v>
      </c>
      <c r="D62" s="105">
        <f>D32*(1-D35)*D17</f>
        <v>0.16420432719411157</v>
      </c>
      <c r="E62" s="105">
        <f>E32*(1-E35)*E17</f>
        <v>6.3663836470833233E-3</v>
      </c>
      <c r="F62" s="105" t="b">
        <f>IF(F32*(1-F35)*(F17-2*F25)&gt;0,F32*(1-F35)*(F17-2*F25)&gt;0,0)</f>
        <v>1</v>
      </c>
      <c r="G62" s="105">
        <f>G32*(1-G35)*G17</f>
        <v>5.6482830820263195E-2</v>
      </c>
      <c r="H62" s="105">
        <f t="shared" ref="H62:J62" si="117">H32*(1-H35)*H17</f>
        <v>1.9134342682076026E-2</v>
      </c>
      <c r="I62" s="105">
        <f t="shared" si="117"/>
        <v>1.7343761857973709E-2</v>
      </c>
      <c r="J62" s="105">
        <f t="shared" si="117"/>
        <v>1.7000596724510649E-2</v>
      </c>
      <c r="K62" s="105">
        <f t="shared" ref="K62:M62" si="118">K32*(1-K35)*K17</f>
        <v>2.474962367664961E-2</v>
      </c>
      <c r="L62" s="105">
        <f t="shared" si="118"/>
        <v>2.9477919361882318E-2</v>
      </c>
      <c r="M62" s="105">
        <f t="shared" si="118"/>
        <v>2.0540409008729117E-2</v>
      </c>
    </row>
    <row r="63" spans="1:13" s="109" customFormat="1" ht="15" customHeight="1">
      <c r="A63" s="110" t="s">
        <v>495</v>
      </c>
      <c r="B63" s="105">
        <f t="shared" ref="B63:G63" si="119">1/SUM(B51:B62)</f>
        <v>1.6826825801137946</v>
      </c>
      <c r="C63" s="105">
        <f t="shared" si="119"/>
        <v>1.424664188511551</v>
      </c>
      <c r="D63" s="105">
        <f t="shared" si="119"/>
        <v>1.2274228420249984</v>
      </c>
      <c r="E63" s="105">
        <f t="shared" si="119"/>
        <v>1</v>
      </c>
      <c r="F63" s="105">
        <f t="shared" si="119"/>
        <v>0.56906116124437311</v>
      </c>
      <c r="G63" s="105">
        <f t="shared" si="119"/>
        <v>1.4811433369011722</v>
      </c>
      <c r="H63" s="105">
        <f t="shared" ref="H63:J63" si="120">1/SUM(H51:H62)</f>
        <v>1.0070581926178692</v>
      </c>
      <c r="I63" s="105">
        <f t="shared" si="120"/>
        <v>1.0223151354520537</v>
      </c>
      <c r="J63" s="105">
        <f t="shared" si="120"/>
        <v>1.0142189972409255</v>
      </c>
      <c r="K63" s="105">
        <f t="shared" ref="K63:M63" si="121">1/SUM(K51:K62)</f>
        <v>1.0471326343370972</v>
      </c>
      <c r="L63" s="105">
        <f t="shared" si="121"/>
        <v>1.0619487785514095</v>
      </c>
      <c r="M63" s="105">
        <f t="shared" si="121"/>
        <v>1.0437643350813743</v>
      </c>
    </row>
    <row r="64" spans="1:13" s="109" customFormat="1" ht="15" customHeight="1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</row>
    <row r="65" spans="1:13" s="107" customFormat="1" ht="15" customHeight="1">
      <c r="A65" s="108"/>
      <c r="B65" s="106" t="s">
        <v>494</v>
      </c>
      <c r="C65" s="106" t="s">
        <v>494</v>
      </c>
      <c r="D65" s="106" t="s">
        <v>494</v>
      </c>
      <c r="E65" s="106" t="s">
        <v>494</v>
      </c>
      <c r="F65" s="106" t="s">
        <v>494</v>
      </c>
      <c r="G65" s="106" t="s">
        <v>494</v>
      </c>
      <c r="H65" s="106" t="s">
        <v>494</v>
      </c>
      <c r="I65" s="106" t="s">
        <v>494</v>
      </c>
      <c r="J65" s="106" t="s">
        <v>494</v>
      </c>
      <c r="K65" s="106" t="s">
        <v>494</v>
      </c>
      <c r="L65" s="106" t="s">
        <v>494</v>
      </c>
      <c r="M65" s="106" t="s">
        <v>494</v>
      </c>
    </row>
    <row r="66" spans="1:13" s="107" customFormat="1" ht="15" customHeight="1">
      <c r="A66" s="104" t="s">
        <v>13</v>
      </c>
      <c r="B66" s="106">
        <f t="shared" ref="B66:G66" si="122">B4/60.08</f>
        <v>4.6604527296937419E-3</v>
      </c>
      <c r="C66" s="106">
        <f t="shared" si="122"/>
        <v>0</v>
      </c>
      <c r="D66" s="106">
        <f t="shared" si="122"/>
        <v>0</v>
      </c>
      <c r="E66" s="106">
        <f t="shared" si="122"/>
        <v>4.4940079893475374E-3</v>
      </c>
      <c r="F66" s="106">
        <f t="shared" si="122"/>
        <v>0</v>
      </c>
      <c r="G66" s="106">
        <f t="shared" si="122"/>
        <v>1.4980026631158455E-3</v>
      </c>
      <c r="H66" s="106">
        <f t="shared" ref="H66:J66" si="123">H4/60.08</f>
        <v>3.8448735019973367E-4</v>
      </c>
      <c r="I66" s="106">
        <f t="shared" si="123"/>
        <v>7.6081890812250332E-3</v>
      </c>
      <c r="J66" s="106">
        <f t="shared" si="123"/>
        <v>3.3788282290279627E-4</v>
      </c>
      <c r="K66" s="106">
        <f t="shared" ref="K66:M66" si="124">K4/60.08</f>
        <v>1.7010652463382158E-3</v>
      </c>
      <c r="L66" s="106">
        <f t="shared" si="124"/>
        <v>1.7959387483355526E-2</v>
      </c>
      <c r="M66" s="106">
        <f t="shared" si="124"/>
        <v>1.9474034620505993E-3</v>
      </c>
    </row>
    <row r="67" spans="1:13" s="107" customFormat="1" ht="15" customHeight="1">
      <c r="A67" s="104" t="s">
        <v>7</v>
      </c>
      <c r="B67" s="106">
        <f t="shared" ref="B67:G67" si="125">B5/79.88</f>
        <v>2.5037556334501755E-4</v>
      </c>
      <c r="C67" s="106">
        <f t="shared" si="125"/>
        <v>0</v>
      </c>
      <c r="D67" s="106">
        <f t="shared" si="125"/>
        <v>0</v>
      </c>
      <c r="E67" s="106">
        <f t="shared" si="125"/>
        <v>0</v>
      </c>
      <c r="F67" s="106">
        <f t="shared" si="125"/>
        <v>0.23785678517776665</v>
      </c>
      <c r="G67" s="106">
        <f t="shared" si="125"/>
        <v>4.0060090135202809E-3</v>
      </c>
      <c r="H67" s="106">
        <f t="shared" ref="H67:J67" si="126">H5/79.88</f>
        <v>8.2711567351026541E-3</v>
      </c>
      <c r="I67" s="106">
        <f t="shared" si="126"/>
        <v>5.2566349524286434E-3</v>
      </c>
      <c r="J67" s="106">
        <f t="shared" si="126"/>
        <v>9.4328993490235356E-3</v>
      </c>
      <c r="K67" s="106">
        <f t="shared" ref="K67:M67" si="127">K5/79.88</f>
        <v>1.1564847270906359E-2</v>
      </c>
      <c r="L67" s="106">
        <f t="shared" si="127"/>
        <v>9.7571357035553339E-3</v>
      </c>
      <c r="M67" s="106">
        <f t="shared" si="127"/>
        <v>8.8758137205808708E-3</v>
      </c>
    </row>
    <row r="68" spans="1:13" s="107" customFormat="1" ht="15" customHeight="1">
      <c r="A68" s="104" t="s">
        <v>14</v>
      </c>
      <c r="B68" s="106">
        <f t="shared" ref="B68:G68" si="128">B6/101.96</f>
        <v>0.63603373872106705</v>
      </c>
      <c r="C68" s="106">
        <f t="shared" si="128"/>
        <v>0.59533150255001965</v>
      </c>
      <c r="D68" s="106">
        <f t="shared" si="128"/>
        <v>0.57061592781482939</v>
      </c>
      <c r="E68" s="106">
        <f t="shared" si="128"/>
        <v>2.0596312279325228E-3</v>
      </c>
      <c r="F68" s="106">
        <f t="shared" si="128"/>
        <v>4.2173401333856414E-2</v>
      </c>
      <c r="G68" s="106">
        <f t="shared" si="128"/>
        <v>0.21184778344448807</v>
      </c>
      <c r="H68" s="106">
        <f t="shared" ref="H68:J68" si="129">H6/101.96</f>
        <v>8.5406041584935276E-3</v>
      </c>
      <c r="I68" s="106">
        <f t="shared" si="129"/>
        <v>7.8226755590427629E-3</v>
      </c>
      <c r="J68" s="106">
        <f t="shared" si="129"/>
        <v>7.5353079639074146E-3</v>
      </c>
      <c r="K68" s="106">
        <f t="shared" ref="K68:M68" si="130">K6/101.96</f>
        <v>1.1451549627304826E-2</v>
      </c>
      <c r="L68" s="106">
        <f t="shared" si="130"/>
        <v>1.3614162416633975E-2</v>
      </c>
      <c r="M68" s="106">
        <f t="shared" si="130"/>
        <v>9.5115731659474317E-3</v>
      </c>
    </row>
    <row r="69" spans="1:13" s="107" customFormat="1" ht="15" customHeight="1">
      <c r="A69" s="104" t="s">
        <v>8</v>
      </c>
      <c r="B69" s="106">
        <f t="shared" ref="B69:G69" si="131">B7/151.99</f>
        <v>1.9738140667149154E-4</v>
      </c>
      <c r="C69" s="106">
        <f t="shared" si="131"/>
        <v>0</v>
      </c>
      <c r="D69" s="106">
        <f t="shared" si="131"/>
        <v>0</v>
      </c>
      <c r="E69" s="106">
        <f t="shared" si="131"/>
        <v>0</v>
      </c>
      <c r="F69" s="106">
        <f t="shared" si="131"/>
        <v>0</v>
      </c>
      <c r="G69" s="106">
        <f t="shared" si="131"/>
        <v>0.2881768537403776</v>
      </c>
      <c r="H69" s="106">
        <f t="shared" ref="H69:J69" si="132">H7/151.99</f>
        <v>0.36449766432002101</v>
      </c>
      <c r="I69" s="106">
        <f t="shared" si="132"/>
        <v>0.38088032107375486</v>
      </c>
      <c r="J69" s="106">
        <f t="shared" si="132"/>
        <v>0.35456280018422265</v>
      </c>
      <c r="K69" s="106">
        <f t="shared" ref="K69:M69" si="133">K7/151.99</f>
        <v>0.36732679781564576</v>
      </c>
      <c r="L69" s="106">
        <f t="shared" si="133"/>
        <v>0.3639055201000066</v>
      </c>
      <c r="M69" s="106">
        <f t="shared" si="133"/>
        <v>0.38002500164484504</v>
      </c>
    </row>
    <row r="70" spans="1:13" s="107" customFormat="1" ht="15" customHeight="1">
      <c r="A70" s="104" t="s">
        <v>102</v>
      </c>
      <c r="B70" s="106">
        <f t="shared" ref="B70:G70" si="134">B8/71.85</f>
        <v>0.21837160751565762</v>
      </c>
      <c r="C70" s="106">
        <f t="shared" si="134"/>
        <v>0.48295059151009057</v>
      </c>
      <c r="D70" s="106">
        <f t="shared" si="134"/>
        <v>0.14613778705636746</v>
      </c>
      <c r="E70" s="106">
        <f t="shared" si="134"/>
        <v>1.2908837856645792</v>
      </c>
      <c r="F70" s="106">
        <f t="shared" si="134"/>
        <v>1.0171189979123174</v>
      </c>
      <c r="G70" s="106">
        <f t="shared" si="134"/>
        <v>0.21475295755045234</v>
      </c>
      <c r="H70" s="106">
        <f t="shared" ref="H70:J70" si="135">H8/71.85</f>
        <v>0.5351426583159361</v>
      </c>
      <c r="I70" s="106">
        <f t="shared" si="135"/>
        <v>0.49255393180236606</v>
      </c>
      <c r="J70" s="106">
        <f t="shared" si="135"/>
        <v>0.55337508698677806</v>
      </c>
      <c r="K70" s="106">
        <f t="shared" ref="K70:M70" si="136">K8/71.85</f>
        <v>0.51412665274878222</v>
      </c>
      <c r="L70" s="106">
        <f t="shared" si="136"/>
        <v>0.48406402226861522</v>
      </c>
      <c r="M70" s="106">
        <f t="shared" si="136"/>
        <v>0.49241475295755055</v>
      </c>
    </row>
    <row r="71" spans="1:13" s="107" customFormat="1" ht="15" customHeight="1">
      <c r="A71" s="104" t="s">
        <v>9</v>
      </c>
      <c r="B71" s="106">
        <f t="shared" ref="B71:G71" si="137">B9/70.94</f>
        <v>1.4096419509444601E-4</v>
      </c>
      <c r="C71" s="106">
        <f t="shared" si="137"/>
        <v>2.8192839018889204E-3</v>
      </c>
      <c r="D71" s="106">
        <f t="shared" si="137"/>
        <v>1.1277135607555681E-3</v>
      </c>
      <c r="E71" s="106">
        <f t="shared" si="137"/>
        <v>0</v>
      </c>
      <c r="F71" s="106">
        <f t="shared" si="137"/>
        <v>0</v>
      </c>
      <c r="G71" s="106">
        <f t="shared" si="137"/>
        <v>4.22892585283338E-3</v>
      </c>
      <c r="H71" s="106">
        <f t="shared" ref="H71:J71" si="138">H9/70.94</f>
        <v>8.4324781505497604E-3</v>
      </c>
      <c r="I71" s="106">
        <f t="shared" si="138"/>
        <v>7.8982238511418109E-3</v>
      </c>
      <c r="J71" s="106">
        <f t="shared" si="138"/>
        <v>7.5599097829151399E-3</v>
      </c>
      <c r="K71" s="106">
        <f t="shared" ref="K71:M71" si="139">K9/70.94</f>
        <v>9.6250352410487735E-3</v>
      </c>
      <c r="L71" s="106">
        <f t="shared" si="139"/>
        <v>9.3318297152523259E-3</v>
      </c>
      <c r="M71" s="106">
        <f t="shared" si="139"/>
        <v>8.7806597124330428E-3</v>
      </c>
    </row>
    <row r="72" spans="1:13" s="107" customFormat="1" ht="15" customHeight="1">
      <c r="A72" s="104" t="s">
        <v>15</v>
      </c>
      <c r="B72" s="106">
        <f t="shared" ref="B72:G72" si="140">B10/40.3</f>
        <v>0.46501240694789081</v>
      </c>
      <c r="C72" s="106">
        <f t="shared" si="140"/>
        <v>0.10669975186104219</v>
      </c>
      <c r="D72" s="106">
        <f t="shared" si="140"/>
        <v>8.1885856079404462E-2</v>
      </c>
      <c r="E72" s="106">
        <f t="shared" si="140"/>
        <v>0</v>
      </c>
      <c r="F72" s="106">
        <f t="shared" si="140"/>
        <v>4.9627791563275443E-3</v>
      </c>
      <c r="G72" s="106">
        <f t="shared" si="140"/>
        <v>0.42679900744416877</v>
      </c>
      <c r="H72" s="106">
        <f t="shared" ref="H72:J72" si="141">H10/40.3</f>
        <v>4.2679900744416875E-2</v>
      </c>
      <c r="I72" s="106">
        <f t="shared" si="141"/>
        <v>4.813895781637717E-2</v>
      </c>
      <c r="J72" s="106">
        <f t="shared" si="141"/>
        <v>4.3176178660049629E-2</v>
      </c>
      <c r="K72" s="106">
        <f t="shared" ref="K72:M72" si="142">K10/40.3</f>
        <v>6.4516129032258077E-2</v>
      </c>
      <c r="L72" s="106">
        <f t="shared" si="142"/>
        <v>8.0148883374689825E-2</v>
      </c>
      <c r="M72" s="106">
        <f t="shared" si="142"/>
        <v>6.1042183622828788E-2</v>
      </c>
    </row>
    <row r="73" spans="1:13" s="107" customFormat="1" ht="15" customHeight="1">
      <c r="A73" s="104" t="s">
        <v>6</v>
      </c>
      <c r="B73" s="106">
        <f t="shared" ref="B73:G73" si="143">B11/56.08</f>
        <v>0</v>
      </c>
      <c r="C73" s="106">
        <f t="shared" si="143"/>
        <v>1.783166904422254E-3</v>
      </c>
      <c r="D73" s="106">
        <f t="shared" si="143"/>
        <v>0</v>
      </c>
      <c r="E73" s="106">
        <f t="shared" si="143"/>
        <v>0</v>
      </c>
      <c r="F73" s="106">
        <f t="shared" si="143"/>
        <v>0</v>
      </c>
      <c r="G73" s="106">
        <f t="shared" si="143"/>
        <v>0</v>
      </c>
      <c r="H73" s="106">
        <f t="shared" ref="H73:J73" si="144">H11/56.08</f>
        <v>3.0313837375178321E-4</v>
      </c>
      <c r="I73" s="106">
        <f t="shared" si="144"/>
        <v>1.0520684736091299E-4</v>
      </c>
      <c r="J73" s="106">
        <f t="shared" si="144"/>
        <v>1.4443651925820255E-4</v>
      </c>
      <c r="K73" s="106">
        <f t="shared" ref="K73:M73" si="145">K11/56.08</f>
        <v>2.4786019971469327E-4</v>
      </c>
      <c r="L73" s="106">
        <f t="shared" si="145"/>
        <v>2.6925820256776034E-4</v>
      </c>
      <c r="M73" s="106">
        <f t="shared" si="145"/>
        <v>0</v>
      </c>
    </row>
    <row r="74" spans="1:13" s="107" customFormat="1" ht="15" customHeight="1">
      <c r="A74" s="104" t="s">
        <v>152</v>
      </c>
      <c r="B74" s="106">
        <f t="shared" ref="B74:G74" si="146">B12/81.38</f>
        <v>0</v>
      </c>
      <c r="C74" s="106">
        <f t="shared" si="146"/>
        <v>0</v>
      </c>
      <c r="D74" s="106">
        <f t="shared" si="146"/>
        <v>0.34050135168346035</v>
      </c>
      <c r="E74" s="106">
        <f t="shared" si="146"/>
        <v>0</v>
      </c>
      <c r="F74" s="106">
        <f t="shared" si="146"/>
        <v>0</v>
      </c>
      <c r="G74" s="106">
        <f t="shared" si="146"/>
        <v>0</v>
      </c>
      <c r="H74" s="106">
        <f t="shared" ref="H74:J74" si="147">H12/81.38</f>
        <v>1.6465962152863112E-2</v>
      </c>
      <c r="I74" s="106">
        <f t="shared" si="147"/>
        <v>1.5851560579995087E-2</v>
      </c>
      <c r="J74" s="106">
        <f t="shared" si="147"/>
        <v>1.3795772917178669E-2</v>
      </c>
      <c r="K74" s="106">
        <f t="shared" ref="K74:M74" si="148">K12/81.38</f>
        <v>5.9265175718849848E-3</v>
      </c>
      <c r="L74" s="106">
        <f t="shared" si="148"/>
        <v>1.047308921110838E-2</v>
      </c>
      <c r="M74" s="106">
        <f t="shared" si="148"/>
        <v>9.4998771196854268E-3</v>
      </c>
    </row>
    <row r="75" spans="1:13" s="107" customFormat="1" ht="15" customHeight="1">
      <c r="A75" s="104" t="s">
        <v>11</v>
      </c>
      <c r="B75" s="106">
        <f t="shared" ref="B75:G75" si="149">B13/74.69</f>
        <v>0</v>
      </c>
      <c r="C75" s="106">
        <f t="shared" si="149"/>
        <v>0</v>
      </c>
      <c r="D75" s="106">
        <f t="shared" si="149"/>
        <v>0</v>
      </c>
      <c r="E75" s="106">
        <f t="shared" si="149"/>
        <v>0</v>
      </c>
      <c r="F75" s="106">
        <f t="shared" si="149"/>
        <v>0</v>
      </c>
      <c r="G75" s="106">
        <f t="shared" si="149"/>
        <v>0</v>
      </c>
      <c r="H75" s="106">
        <f t="shared" ref="H75:J75" si="150">H13/74.69</f>
        <v>7.2298835185433133E-5</v>
      </c>
      <c r="I75" s="106">
        <f t="shared" si="150"/>
        <v>4.4985941893158386E-4</v>
      </c>
      <c r="J75" s="106">
        <f t="shared" si="150"/>
        <v>2.1823537287454811E-4</v>
      </c>
      <c r="K75" s="106">
        <f t="shared" ref="K75:M75" si="151">K13/74.69</f>
        <v>2.3323068683893428E-3</v>
      </c>
      <c r="L75" s="106">
        <f t="shared" si="151"/>
        <v>7.5779890212879903E-4</v>
      </c>
      <c r="M75" s="106">
        <f t="shared" si="151"/>
        <v>1.2130137903333779E-3</v>
      </c>
    </row>
    <row r="76" spans="1:13" s="107" customFormat="1" ht="15" customHeight="1">
      <c r="A76" s="104" t="s">
        <v>476</v>
      </c>
      <c r="B76" s="106">
        <f t="shared" ref="B76:G76" si="152">SUM(B66:B75)</f>
        <v>1.3246669270794202</v>
      </c>
      <c r="C76" s="106">
        <f t="shared" si="152"/>
        <v>1.1895842967274635</v>
      </c>
      <c r="D76" s="106">
        <f t="shared" si="152"/>
        <v>1.1402686361948173</v>
      </c>
      <c r="E76" s="106">
        <f t="shared" si="152"/>
        <v>1.2974374248818592</v>
      </c>
      <c r="F76" s="106">
        <f t="shared" si="152"/>
        <v>1.302111963580268</v>
      </c>
      <c r="G76" s="106">
        <f t="shared" si="152"/>
        <v>1.1513095397089563</v>
      </c>
      <c r="H76" s="106">
        <f t="shared" ref="H76:J76" si="153">SUM(H66:H75)</f>
        <v>0.98479034913651997</v>
      </c>
      <c r="I76" s="106">
        <f t="shared" si="153"/>
        <v>0.96656556098262392</v>
      </c>
      <c r="J76" s="106">
        <f t="shared" si="153"/>
        <v>0.99013851055911062</v>
      </c>
      <c r="K76" s="106">
        <f t="shared" ref="K76:M76" si="154">SUM(K66:K75)</f>
        <v>0.98881876162227333</v>
      </c>
      <c r="L76" s="106">
        <f t="shared" si="154"/>
        <v>0.99028108737791376</v>
      </c>
      <c r="M76" s="106">
        <f t="shared" si="154"/>
        <v>0.97331027919625512</v>
      </c>
    </row>
    <row r="77" spans="1:13" s="107" customFormat="1" ht="15" customHeight="1">
      <c r="A77" s="108"/>
      <c r="B77" s="106" t="s">
        <v>493</v>
      </c>
      <c r="C77" s="106" t="s">
        <v>493</v>
      </c>
      <c r="D77" s="106" t="s">
        <v>493</v>
      </c>
      <c r="E77" s="106" t="s">
        <v>493</v>
      </c>
      <c r="F77" s="106" t="s">
        <v>493</v>
      </c>
      <c r="G77" s="106" t="s">
        <v>493</v>
      </c>
      <c r="H77" s="106" t="s">
        <v>493</v>
      </c>
      <c r="I77" s="106" t="s">
        <v>493</v>
      </c>
      <c r="J77" s="106" t="s">
        <v>493</v>
      </c>
      <c r="K77" s="106" t="s">
        <v>493</v>
      </c>
      <c r="L77" s="106" t="s">
        <v>493</v>
      </c>
      <c r="M77" s="106" t="s">
        <v>493</v>
      </c>
    </row>
    <row r="78" spans="1:13" s="107" customFormat="1" ht="15" customHeight="1">
      <c r="A78" s="108" t="s">
        <v>488</v>
      </c>
      <c r="B78" s="106">
        <f t="shared" ref="B78:G79" si="155">B66*2</f>
        <v>9.3209054593874838E-3</v>
      </c>
      <c r="C78" s="106">
        <f t="shared" si="155"/>
        <v>0</v>
      </c>
      <c r="D78" s="106">
        <f t="shared" si="155"/>
        <v>0</v>
      </c>
      <c r="E78" s="106">
        <f t="shared" si="155"/>
        <v>8.9880159786950749E-3</v>
      </c>
      <c r="F78" s="106">
        <f t="shared" si="155"/>
        <v>0</v>
      </c>
      <c r="G78" s="106">
        <f t="shared" si="155"/>
        <v>2.9960053262316909E-3</v>
      </c>
      <c r="H78" s="106">
        <f t="shared" ref="H78:J78" si="156">H66*2</f>
        <v>7.6897470039946733E-4</v>
      </c>
      <c r="I78" s="106">
        <f t="shared" si="156"/>
        <v>1.5216378162450066E-2</v>
      </c>
      <c r="J78" s="106">
        <f t="shared" si="156"/>
        <v>6.7576564580559253E-4</v>
      </c>
      <c r="K78" s="106">
        <f t="shared" ref="K78:M78" si="157">K66*2</f>
        <v>3.4021304926764315E-3</v>
      </c>
      <c r="L78" s="106">
        <f t="shared" si="157"/>
        <v>3.5918774966711052E-2</v>
      </c>
      <c r="M78" s="106">
        <f t="shared" si="157"/>
        <v>3.8948069241011986E-3</v>
      </c>
    </row>
    <row r="79" spans="1:13" s="107" customFormat="1" ht="15" customHeight="1">
      <c r="A79" s="108" t="s">
        <v>487</v>
      </c>
      <c r="B79" s="106">
        <f t="shared" si="155"/>
        <v>5.0075112669003511E-4</v>
      </c>
      <c r="C79" s="106">
        <f t="shared" si="155"/>
        <v>0</v>
      </c>
      <c r="D79" s="106">
        <f t="shared" si="155"/>
        <v>0</v>
      </c>
      <c r="E79" s="106">
        <f t="shared" si="155"/>
        <v>0</v>
      </c>
      <c r="F79" s="106">
        <f t="shared" si="155"/>
        <v>0.4757135703555333</v>
      </c>
      <c r="G79" s="106">
        <f t="shared" si="155"/>
        <v>8.0120180270405617E-3</v>
      </c>
      <c r="H79" s="106">
        <f t="shared" ref="H79:J79" si="158">H67*2</f>
        <v>1.6542313470205308E-2</v>
      </c>
      <c r="I79" s="106">
        <f t="shared" si="158"/>
        <v>1.0513269904857287E-2</v>
      </c>
      <c r="J79" s="106">
        <f t="shared" si="158"/>
        <v>1.8865798698047071E-2</v>
      </c>
      <c r="K79" s="106">
        <f t="shared" ref="K79:M79" si="159">K67*2</f>
        <v>2.3129694541812719E-2</v>
      </c>
      <c r="L79" s="106">
        <f t="shared" si="159"/>
        <v>1.9514271407110668E-2</v>
      </c>
      <c r="M79" s="106">
        <f t="shared" si="159"/>
        <v>1.7751627441161742E-2</v>
      </c>
    </row>
    <row r="80" spans="1:13" s="107" customFormat="1" ht="15" customHeight="1">
      <c r="A80" s="108" t="s">
        <v>486</v>
      </c>
      <c r="B80" s="106">
        <f t="shared" ref="B80:G81" si="160">B68*3</f>
        <v>1.9081012161632012</v>
      </c>
      <c r="C80" s="106">
        <f t="shared" si="160"/>
        <v>1.785994507650059</v>
      </c>
      <c r="D80" s="106">
        <f t="shared" si="160"/>
        <v>1.7118477834444881</v>
      </c>
      <c r="E80" s="106">
        <f t="shared" si="160"/>
        <v>6.1788936837975685E-3</v>
      </c>
      <c r="F80" s="106">
        <f t="shared" si="160"/>
        <v>0.12652020400156924</v>
      </c>
      <c r="G80" s="106">
        <f t="shared" si="160"/>
        <v>0.63554335033346421</v>
      </c>
      <c r="H80" s="106">
        <f t="shared" ref="H80:J80" si="161">H68*3</f>
        <v>2.5621812475480583E-2</v>
      </c>
      <c r="I80" s="106">
        <f t="shared" si="161"/>
        <v>2.3468026677128287E-2</v>
      </c>
      <c r="J80" s="106">
        <f t="shared" si="161"/>
        <v>2.2605923891722245E-2</v>
      </c>
      <c r="K80" s="106">
        <f t="shared" ref="K80:M80" si="162">K68*3</f>
        <v>3.435464888191448E-2</v>
      </c>
      <c r="L80" s="106">
        <f t="shared" si="162"/>
        <v>4.0842487249901922E-2</v>
      </c>
      <c r="M80" s="106">
        <f t="shared" si="162"/>
        <v>2.8534719497842295E-2</v>
      </c>
    </row>
    <row r="81" spans="1:13" s="107" customFormat="1" ht="15" customHeight="1">
      <c r="A81" s="108" t="s">
        <v>485</v>
      </c>
      <c r="B81" s="106">
        <f t="shared" si="160"/>
        <v>5.9214422001447459E-4</v>
      </c>
      <c r="C81" s="106">
        <f t="shared" si="160"/>
        <v>0</v>
      </c>
      <c r="D81" s="106">
        <f t="shared" si="160"/>
        <v>0</v>
      </c>
      <c r="E81" s="106">
        <f t="shared" si="160"/>
        <v>0</v>
      </c>
      <c r="F81" s="106">
        <f t="shared" si="160"/>
        <v>0</v>
      </c>
      <c r="G81" s="106">
        <f t="shared" si="160"/>
        <v>0.86453056122113281</v>
      </c>
      <c r="H81" s="106">
        <f t="shared" ref="H81:J81" si="163">H69*3</f>
        <v>1.093492992960063</v>
      </c>
      <c r="I81" s="106">
        <f t="shared" si="163"/>
        <v>1.1426409632212646</v>
      </c>
      <c r="J81" s="106">
        <f t="shared" si="163"/>
        <v>1.0636884005526679</v>
      </c>
      <c r="K81" s="106">
        <f t="shared" ref="K81:M81" si="164">K69*3</f>
        <v>1.1019803934469372</v>
      </c>
      <c r="L81" s="106">
        <f t="shared" si="164"/>
        <v>1.0917165603000198</v>
      </c>
      <c r="M81" s="106">
        <f t="shared" si="164"/>
        <v>1.1400750049345352</v>
      </c>
    </row>
    <row r="82" spans="1:13" s="107" customFormat="1" ht="15" customHeight="1">
      <c r="A82" s="108" t="s">
        <v>483</v>
      </c>
      <c r="B82" s="106">
        <f t="shared" ref="B82:G87" si="165">B70</f>
        <v>0.21837160751565762</v>
      </c>
      <c r="C82" s="106">
        <f t="shared" si="165"/>
        <v>0.48295059151009057</v>
      </c>
      <c r="D82" s="106">
        <f t="shared" si="165"/>
        <v>0.14613778705636746</v>
      </c>
      <c r="E82" s="106">
        <f t="shared" si="165"/>
        <v>1.2908837856645792</v>
      </c>
      <c r="F82" s="106">
        <f t="shared" si="165"/>
        <v>1.0171189979123174</v>
      </c>
      <c r="G82" s="106">
        <f t="shared" si="165"/>
        <v>0.21475295755045234</v>
      </c>
      <c r="H82" s="106">
        <f t="shared" ref="H82:J82" si="166">H70</f>
        <v>0.5351426583159361</v>
      </c>
      <c r="I82" s="106">
        <f t="shared" si="166"/>
        <v>0.49255393180236606</v>
      </c>
      <c r="J82" s="106">
        <f t="shared" si="166"/>
        <v>0.55337508698677806</v>
      </c>
      <c r="K82" s="106">
        <f t="shared" ref="K82:M82" si="167">K70</f>
        <v>0.51412665274878222</v>
      </c>
      <c r="L82" s="106">
        <f t="shared" si="167"/>
        <v>0.48406402226861522</v>
      </c>
      <c r="M82" s="106">
        <f t="shared" si="167"/>
        <v>0.49241475295755055</v>
      </c>
    </row>
    <row r="83" spans="1:13" s="107" customFormat="1" ht="15" customHeight="1">
      <c r="A83" s="108" t="s">
        <v>480</v>
      </c>
      <c r="B83" s="106">
        <f t="shared" si="165"/>
        <v>1.4096419509444601E-4</v>
      </c>
      <c r="C83" s="106">
        <f t="shared" si="165"/>
        <v>2.8192839018889204E-3</v>
      </c>
      <c r="D83" s="106">
        <f t="shared" si="165"/>
        <v>1.1277135607555681E-3</v>
      </c>
      <c r="E83" s="106">
        <f t="shared" si="165"/>
        <v>0</v>
      </c>
      <c r="F83" s="106">
        <f t="shared" si="165"/>
        <v>0</v>
      </c>
      <c r="G83" s="106">
        <f t="shared" si="165"/>
        <v>4.22892585283338E-3</v>
      </c>
      <c r="H83" s="106">
        <f t="shared" ref="H83:J83" si="168">H71</f>
        <v>8.4324781505497604E-3</v>
      </c>
      <c r="I83" s="106">
        <f t="shared" si="168"/>
        <v>7.8982238511418109E-3</v>
      </c>
      <c r="J83" s="106">
        <f t="shared" si="168"/>
        <v>7.5599097829151399E-3</v>
      </c>
      <c r="K83" s="106">
        <f t="shared" ref="K83:M83" si="169">K71</f>
        <v>9.6250352410487735E-3</v>
      </c>
      <c r="L83" s="106">
        <f t="shared" si="169"/>
        <v>9.3318297152523259E-3</v>
      </c>
      <c r="M83" s="106">
        <f t="shared" si="169"/>
        <v>8.7806597124330428E-3</v>
      </c>
    </row>
    <row r="84" spans="1:13" s="107" customFormat="1" ht="15" customHeight="1">
      <c r="A84" s="108" t="s">
        <v>482</v>
      </c>
      <c r="B84" s="106">
        <f t="shared" si="165"/>
        <v>0.46501240694789081</v>
      </c>
      <c r="C84" s="106">
        <f t="shared" si="165"/>
        <v>0.10669975186104219</v>
      </c>
      <c r="D84" s="106">
        <f t="shared" si="165"/>
        <v>8.1885856079404462E-2</v>
      </c>
      <c r="E84" s="106">
        <f t="shared" si="165"/>
        <v>0</v>
      </c>
      <c r="F84" s="106">
        <f t="shared" si="165"/>
        <v>4.9627791563275443E-3</v>
      </c>
      <c r="G84" s="106">
        <f t="shared" si="165"/>
        <v>0.42679900744416877</v>
      </c>
      <c r="H84" s="106">
        <f t="shared" ref="H84:J84" si="170">H72</f>
        <v>4.2679900744416875E-2</v>
      </c>
      <c r="I84" s="106">
        <f t="shared" si="170"/>
        <v>4.813895781637717E-2</v>
      </c>
      <c r="J84" s="106">
        <f t="shared" si="170"/>
        <v>4.3176178660049629E-2</v>
      </c>
      <c r="K84" s="106">
        <f t="shared" ref="K84:M84" si="171">K72</f>
        <v>6.4516129032258077E-2</v>
      </c>
      <c r="L84" s="106">
        <f t="shared" si="171"/>
        <v>8.0148883374689825E-2</v>
      </c>
      <c r="M84" s="106">
        <f t="shared" si="171"/>
        <v>6.1042183622828788E-2</v>
      </c>
    </row>
    <row r="85" spans="1:13" s="107" customFormat="1" ht="15" customHeight="1">
      <c r="A85" s="108" t="s">
        <v>481</v>
      </c>
      <c r="B85" s="106">
        <f t="shared" si="165"/>
        <v>0</v>
      </c>
      <c r="C85" s="106">
        <f t="shared" si="165"/>
        <v>1.783166904422254E-3</v>
      </c>
      <c r="D85" s="106">
        <f t="shared" si="165"/>
        <v>0</v>
      </c>
      <c r="E85" s="106">
        <f t="shared" si="165"/>
        <v>0</v>
      </c>
      <c r="F85" s="106">
        <f t="shared" si="165"/>
        <v>0</v>
      </c>
      <c r="G85" s="106">
        <f t="shared" si="165"/>
        <v>0</v>
      </c>
      <c r="H85" s="106">
        <f t="shared" ref="H85:J85" si="172">H73</f>
        <v>3.0313837375178321E-4</v>
      </c>
      <c r="I85" s="106">
        <f t="shared" si="172"/>
        <v>1.0520684736091299E-4</v>
      </c>
      <c r="J85" s="106">
        <f t="shared" si="172"/>
        <v>1.4443651925820255E-4</v>
      </c>
      <c r="K85" s="106">
        <f t="shared" ref="K85:M85" si="173">K73</f>
        <v>2.4786019971469327E-4</v>
      </c>
      <c r="L85" s="106">
        <f t="shared" si="173"/>
        <v>2.6925820256776034E-4</v>
      </c>
      <c r="M85" s="106">
        <f t="shared" si="173"/>
        <v>0</v>
      </c>
    </row>
    <row r="86" spans="1:13" s="107" customFormat="1" ht="15" customHeight="1">
      <c r="A86" s="108" t="s">
        <v>479</v>
      </c>
      <c r="B86" s="106">
        <f t="shared" si="165"/>
        <v>0</v>
      </c>
      <c r="C86" s="106">
        <f t="shared" si="165"/>
        <v>0</v>
      </c>
      <c r="D86" s="106">
        <f t="shared" si="165"/>
        <v>0.34050135168346035</v>
      </c>
      <c r="E86" s="106">
        <f t="shared" si="165"/>
        <v>0</v>
      </c>
      <c r="F86" s="106">
        <f t="shared" si="165"/>
        <v>0</v>
      </c>
      <c r="G86" s="106">
        <f t="shared" si="165"/>
        <v>0</v>
      </c>
      <c r="H86" s="106">
        <f t="shared" ref="H86:J86" si="174">H74</f>
        <v>1.6465962152863112E-2</v>
      </c>
      <c r="I86" s="106">
        <f t="shared" si="174"/>
        <v>1.5851560579995087E-2</v>
      </c>
      <c r="J86" s="106">
        <f t="shared" si="174"/>
        <v>1.3795772917178669E-2</v>
      </c>
      <c r="K86" s="106">
        <f t="shared" ref="K86:M86" si="175">K74</f>
        <v>5.9265175718849848E-3</v>
      </c>
      <c r="L86" s="106">
        <f t="shared" si="175"/>
        <v>1.047308921110838E-2</v>
      </c>
      <c r="M86" s="106">
        <f t="shared" si="175"/>
        <v>9.4998771196854268E-3</v>
      </c>
    </row>
    <row r="87" spans="1:13" s="107" customFormat="1" ht="15" customHeight="1">
      <c r="A87" s="108" t="s">
        <v>478</v>
      </c>
      <c r="B87" s="106">
        <f t="shared" si="165"/>
        <v>0</v>
      </c>
      <c r="C87" s="106">
        <f t="shared" si="165"/>
        <v>0</v>
      </c>
      <c r="D87" s="106">
        <f t="shared" si="165"/>
        <v>0</v>
      </c>
      <c r="E87" s="106">
        <f t="shared" si="165"/>
        <v>0</v>
      </c>
      <c r="F87" s="106">
        <f t="shared" si="165"/>
        <v>0</v>
      </c>
      <c r="G87" s="106">
        <f t="shared" si="165"/>
        <v>0</v>
      </c>
      <c r="H87" s="106">
        <f t="shared" ref="H87:J87" si="176">H75</f>
        <v>7.2298835185433133E-5</v>
      </c>
      <c r="I87" s="106">
        <f t="shared" si="176"/>
        <v>4.4985941893158386E-4</v>
      </c>
      <c r="J87" s="106">
        <f t="shared" si="176"/>
        <v>2.1823537287454811E-4</v>
      </c>
      <c r="K87" s="106">
        <f t="shared" ref="K87:M87" si="177">K75</f>
        <v>2.3323068683893428E-3</v>
      </c>
      <c r="L87" s="106">
        <f t="shared" si="177"/>
        <v>7.5779890212879903E-4</v>
      </c>
      <c r="M87" s="106">
        <f t="shared" si="177"/>
        <v>1.2130137903333779E-3</v>
      </c>
    </row>
    <row r="88" spans="1:13" s="107" customFormat="1" ht="15" customHeight="1">
      <c r="A88" s="108"/>
      <c r="B88" s="106">
        <f t="shared" ref="B88:G88" si="178">4/SUM(B78:B87)</f>
        <v>1.5372553868199486</v>
      </c>
      <c r="C88" s="106">
        <f t="shared" si="178"/>
        <v>1.680497651201573</v>
      </c>
      <c r="D88" s="106">
        <f t="shared" si="178"/>
        <v>1.7532321445178698</v>
      </c>
      <c r="E88" s="106">
        <f t="shared" si="178"/>
        <v>3.0626682519381743</v>
      </c>
      <c r="F88" s="106">
        <f t="shared" si="178"/>
        <v>2.4625756962611041</v>
      </c>
      <c r="G88" s="106">
        <f t="shared" si="178"/>
        <v>1.8545453851935241</v>
      </c>
      <c r="H88" s="106">
        <f t="shared" ref="H88:J88" si="179">4/SUM(H78:H87)</f>
        <v>2.2994815707208662</v>
      </c>
      <c r="I88" s="106">
        <f t="shared" si="179"/>
        <v>2.2768198845653833</v>
      </c>
      <c r="J88" s="106">
        <f t="shared" si="179"/>
        <v>2.3200436278732806</v>
      </c>
      <c r="K88" s="106">
        <f t="shared" ref="K88:M88" si="180">4/SUM(K78:K87)</f>
        <v>2.2731904752929335</v>
      </c>
      <c r="L88" s="106">
        <f t="shared" si="180"/>
        <v>2.2560161209557763</v>
      </c>
      <c r="M88" s="106">
        <f t="shared" si="180"/>
        <v>2.2685939898612033</v>
      </c>
    </row>
    <row r="89" spans="1:13" s="107" customFormat="1" ht="15" customHeight="1">
      <c r="A89" s="108" t="s">
        <v>492</v>
      </c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</row>
    <row r="90" spans="1:13" s="107" customFormat="1" ht="15" customHeight="1">
      <c r="A90" s="108" t="s">
        <v>488</v>
      </c>
      <c r="B90" s="106">
        <f t="shared" ref="B90:G90" si="181">B78*B88</f>
        <v>1.4328612127482876E-2</v>
      </c>
      <c r="C90" s="106">
        <f t="shared" si="181"/>
        <v>0</v>
      </c>
      <c r="D90" s="106">
        <f t="shared" si="181"/>
        <v>0</v>
      </c>
      <c r="E90" s="106">
        <f t="shared" si="181"/>
        <v>2.7527311185862425E-2</v>
      </c>
      <c r="F90" s="106">
        <f t="shared" si="181"/>
        <v>0</v>
      </c>
      <c r="G90" s="106">
        <f t="shared" si="181"/>
        <v>5.5562278517782013E-3</v>
      </c>
      <c r="H90" s="106">
        <f t="shared" ref="H90:J90" si="182">H78*H88</f>
        <v>1.7682431519191746E-3</v>
      </c>
      <c r="I90" s="106">
        <f t="shared" si="182"/>
        <v>3.4644952371332777E-2</v>
      </c>
      <c r="J90" s="106">
        <f t="shared" si="182"/>
        <v>1.5678057804869373E-3</v>
      </c>
      <c r="K90" s="106">
        <f t="shared" ref="K90:M90" si="183">K78*K88</f>
        <v>7.7336906316557196E-3</v>
      </c>
      <c r="L90" s="106">
        <f t="shared" si="183"/>
        <v>8.1033335369882914E-2</v>
      </c>
      <c r="M90" s="106">
        <f t="shared" si="183"/>
        <v>8.8357355796857794E-3</v>
      </c>
    </row>
    <row r="91" spans="1:13" s="107" customFormat="1" ht="15" customHeight="1">
      <c r="A91" s="108" t="s">
        <v>487</v>
      </c>
      <c r="B91" s="106">
        <f t="shared" ref="B91:G91" si="184">B79*B88</f>
        <v>7.6978236696041496E-4</v>
      </c>
      <c r="C91" s="106">
        <f t="shared" si="184"/>
        <v>0</v>
      </c>
      <c r="D91" s="106">
        <f t="shared" si="184"/>
        <v>0</v>
      </c>
      <c r="E91" s="106">
        <f t="shared" si="184"/>
        <v>0</v>
      </c>
      <c r="F91" s="106">
        <f t="shared" si="184"/>
        <v>1.171480676739133</v>
      </c>
      <c r="G91" s="106">
        <f t="shared" si="184"/>
        <v>1.4858651058135398E-2</v>
      </c>
      <c r="H91" s="106">
        <f t="shared" ref="H91:J91" si="185">H79*H88</f>
        <v>3.8038744961824647E-2</v>
      </c>
      <c r="I91" s="106">
        <f t="shared" si="185"/>
        <v>2.3936821971181885E-2</v>
      </c>
      <c r="J91" s="106">
        <f t="shared" si="185"/>
        <v>4.3769476054144142E-2</v>
      </c>
      <c r="K91" s="106">
        <f t="shared" ref="K91:M91" si="186">K79*K88</f>
        <v>5.2578201328883627E-2</v>
      </c>
      <c r="L91" s="106">
        <f t="shared" si="186"/>
        <v>4.402451088314803E-2</v>
      </c>
      <c r="M91" s="106">
        <f t="shared" si="186"/>
        <v>4.0271235323274736E-2</v>
      </c>
    </row>
    <row r="92" spans="1:13" s="107" customFormat="1" ht="15" customHeight="1">
      <c r="A92" s="108" t="s">
        <v>486</v>
      </c>
      <c r="B92" s="106">
        <f t="shared" ref="B92:G92" si="187">B80*B88</f>
        <v>2.933238873144576</v>
      </c>
      <c r="C92" s="106">
        <f t="shared" si="187"/>
        <v>3.0013595751648339</v>
      </c>
      <c r="D92" s="106">
        <f t="shared" si="187"/>
        <v>3.0012665604565418</v>
      </c>
      <c r="E92" s="106">
        <f t="shared" si="187"/>
        <v>1.8923901517468124E-2</v>
      </c>
      <c r="F92" s="106">
        <f t="shared" si="187"/>
        <v>0.31156557946026131</v>
      </c>
      <c r="G92" s="106">
        <f t="shared" si="187"/>
        <v>1.1786439874513572</v>
      </c>
      <c r="H92" s="106">
        <f t="shared" ref="H92:J92" si="188">H80*H88</f>
        <v>5.8916885595833579E-2</v>
      </c>
      <c r="I92" s="106">
        <f t="shared" si="188"/>
        <v>5.3432469789996564E-2</v>
      </c>
      <c r="J92" s="106">
        <f t="shared" si="188"/>
        <v>5.2446729677178547E-2</v>
      </c>
      <c r="K92" s="106">
        <f t="shared" ref="K92:M92" si="189">K80*K88</f>
        <v>7.8094660620401019E-2</v>
      </c>
      <c r="L92" s="106">
        <f t="shared" si="189"/>
        <v>9.2141309655709491E-2</v>
      </c>
      <c r="M92" s="106">
        <f t="shared" si="189"/>
        <v>6.4733693155180322E-2</v>
      </c>
    </row>
    <row r="93" spans="1:13" s="107" customFormat="1" ht="15" customHeight="1">
      <c r="A93" s="108" t="s">
        <v>485</v>
      </c>
      <c r="B93" s="106">
        <f t="shared" ref="B93:G93" si="190">B81*B88</f>
        <v>9.1027689199154791E-4</v>
      </c>
      <c r="C93" s="106">
        <f t="shared" si="190"/>
        <v>0</v>
      </c>
      <c r="D93" s="106">
        <f t="shared" si="190"/>
        <v>0</v>
      </c>
      <c r="E93" s="106">
        <f t="shared" si="190"/>
        <v>0</v>
      </c>
      <c r="F93" s="106">
        <f t="shared" si="190"/>
        <v>0</v>
      </c>
      <c r="G93" s="106">
        <f t="shared" si="190"/>
        <v>1.6033111626714194</v>
      </c>
      <c r="H93" s="106">
        <f t="shared" ref="H93:J93" si="191">H81*H88</f>
        <v>2.5144669850240668</v>
      </c>
      <c r="I93" s="106">
        <f t="shared" si="191"/>
        <v>2.6015876659811181</v>
      </c>
      <c r="J93" s="106">
        <f t="shared" si="191"/>
        <v>2.4678034957449388</v>
      </c>
      <c r="K93" s="106">
        <f t="shared" ref="K93:M93" si="192">K81*K88</f>
        <v>2.5050113343431373</v>
      </c>
      <c r="L93" s="106">
        <f t="shared" si="192"/>
        <v>2.4629301595512336</v>
      </c>
      <c r="M93" s="106">
        <f t="shared" si="192"/>
        <v>2.586367304185468</v>
      </c>
    </row>
    <row r="94" spans="1:13" s="107" customFormat="1" ht="15" customHeight="1">
      <c r="A94" s="108" t="s">
        <v>483</v>
      </c>
      <c r="B94" s="106">
        <f t="shared" ref="B94:G94" si="193">B82*B88</f>
        <v>0.33569292998197625</v>
      </c>
      <c r="C94" s="106">
        <f t="shared" si="193"/>
        <v>0.81159733467911754</v>
      </c>
      <c r="D94" s="106">
        <f t="shared" si="193"/>
        <v>0.25621346579593091</v>
      </c>
      <c r="E94" s="106">
        <f t="shared" si="193"/>
        <v>3.9535487872966697</v>
      </c>
      <c r="F94" s="106">
        <f t="shared" si="193"/>
        <v>2.5047325244643215</v>
      </c>
      <c r="G94" s="106">
        <f t="shared" si="193"/>
        <v>0.39826910638185214</v>
      </c>
      <c r="H94" s="106">
        <f t="shared" ref="H94:J94" si="194">H82*H88</f>
        <v>1.2305506805040687</v>
      </c>
      <c r="I94" s="106">
        <f t="shared" si="194"/>
        <v>1.1214565861484889</v>
      </c>
      <c r="J94" s="106">
        <f t="shared" si="194"/>
        <v>1.2838543443874968</v>
      </c>
      <c r="K94" s="106">
        <f t="shared" ref="K94:M94" si="195">K82*K88</f>
        <v>1.1687078101227693</v>
      </c>
      <c r="L94" s="106">
        <f t="shared" si="195"/>
        <v>1.0920562378126919</v>
      </c>
      <c r="M94" s="106">
        <f t="shared" si="195"/>
        <v>1.1170891490784884</v>
      </c>
    </row>
    <row r="95" spans="1:13" s="107" customFormat="1" ht="15" customHeight="1">
      <c r="A95" s="108" t="s">
        <v>482</v>
      </c>
      <c r="B95" s="106">
        <f t="shared" ref="B95:G95" si="196">B83*B88</f>
        <v>2.1669796825767531E-4</v>
      </c>
      <c r="C95" s="106">
        <f t="shared" si="196"/>
        <v>4.7377999751947366E-3</v>
      </c>
      <c r="D95" s="106">
        <f t="shared" si="196"/>
        <v>1.9771436645253677E-3</v>
      </c>
      <c r="E95" s="106">
        <f t="shared" si="196"/>
        <v>0</v>
      </c>
      <c r="F95" s="106">
        <f t="shared" si="196"/>
        <v>0</v>
      </c>
      <c r="G95" s="106">
        <f t="shared" si="196"/>
        <v>7.8427349246977338E-3</v>
      </c>
      <c r="H95" s="106">
        <f t="shared" ref="H95:J95" si="197">H83*H88</f>
        <v>1.9390328102695548E-2</v>
      </c>
      <c r="I95" s="106">
        <f t="shared" si="197"/>
        <v>1.7982833117028255E-2</v>
      </c>
      <c r="J95" s="106">
        <f t="shared" si="197"/>
        <v>1.7539320519149144E-2</v>
      </c>
      <c r="K95" s="106">
        <f t="shared" ref="K95:M95" si="198">K83*K88</f>
        <v>2.1879538434310897E-2</v>
      </c>
      <c r="L95" s="106">
        <f t="shared" si="198"/>
        <v>2.10527582756234E-2</v>
      </c>
      <c r="M95" s="106">
        <f t="shared" si="198"/>
        <v>1.9919751850642004E-2</v>
      </c>
    </row>
    <row r="96" spans="1:13" s="107" customFormat="1" ht="15" customHeight="1">
      <c r="A96" s="108" t="s">
        <v>481</v>
      </c>
      <c r="B96" s="106">
        <f t="shared" ref="B96:G96" si="199">B84*B88</f>
        <v>0.71484282751875527</v>
      </c>
      <c r="C96" s="106">
        <f t="shared" si="199"/>
        <v>0.17930868238627207</v>
      </c>
      <c r="D96" s="106">
        <f t="shared" si="199"/>
        <v>0.14356491505977592</v>
      </c>
      <c r="E96" s="106">
        <f t="shared" si="199"/>
        <v>0</v>
      </c>
      <c r="F96" s="106">
        <f t="shared" si="199"/>
        <v>1.2221219336283397E-2</v>
      </c>
      <c r="G96" s="106">
        <f t="shared" si="199"/>
        <v>0.79151812966075974</v>
      </c>
      <c r="H96" s="106">
        <f t="shared" ref="H96:J96" si="200">H84*H88</f>
        <v>9.8141645201982389E-2</v>
      </c>
      <c r="I96" s="106">
        <f t="shared" si="200"/>
        <v>0.10960373637858173</v>
      </c>
      <c r="J96" s="106">
        <f t="shared" si="200"/>
        <v>0.10017061817616646</v>
      </c>
      <c r="K96" s="106">
        <f t="shared" ref="K96:M96" si="201">K84*K88</f>
        <v>0.14665745001889896</v>
      </c>
      <c r="L96" s="106">
        <f t="shared" si="201"/>
        <v>0.18081717296990465</v>
      </c>
      <c r="M96" s="106">
        <f t="shared" si="201"/>
        <v>0.13847993089475336</v>
      </c>
    </row>
    <row r="97" spans="1:13" s="107" customFormat="1" ht="15" customHeight="1">
      <c r="A97" s="108" t="s">
        <v>480</v>
      </c>
      <c r="B97" s="106">
        <f t="shared" ref="B97:G97" si="202">B85*B88</f>
        <v>0</v>
      </c>
      <c r="C97" s="106">
        <f t="shared" si="202"/>
        <v>2.9966077945819776E-3</v>
      </c>
      <c r="D97" s="106">
        <f t="shared" si="202"/>
        <v>0</v>
      </c>
      <c r="E97" s="106">
        <f t="shared" si="202"/>
        <v>0</v>
      </c>
      <c r="F97" s="106">
        <f t="shared" si="202"/>
        <v>0</v>
      </c>
      <c r="G97" s="106">
        <f t="shared" si="202"/>
        <v>0</v>
      </c>
      <c r="H97" s="106">
        <f t="shared" ref="H97:J97" si="203">H85*H88</f>
        <v>6.9706110382051947E-4</v>
      </c>
      <c r="I97" s="106">
        <f t="shared" si="203"/>
        <v>2.395370420637618E-4</v>
      </c>
      <c r="J97" s="106">
        <f t="shared" si="203"/>
        <v>3.350990261371892E-4</v>
      </c>
      <c r="K97" s="106">
        <f t="shared" ref="K97:M97" si="204">K85*K88</f>
        <v>5.6343344519564501E-4</v>
      </c>
      <c r="L97" s="106">
        <f t="shared" si="204"/>
        <v>6.0745084569244331E-4</v>
      </c>
      <c r="M97" s="106">
        <f t="shared" si="204"/>
        <v>0</v>
      </c>
    </row>
    <row r="98" spans="1:13" s="107" customFormat="1" ht="15" customHeight="1">
      <c r="A98" s="108" t="s">
        <v>479</v>
      </c>
      <c r="B98" s="106">
        <f t="shared" ref="B98:G98" si="205">B86*B88</f>
        <v>0</v>
      </c>
      <c r="C98" s="106">
        <f t="shared" si="205"/>
        <v>0</v>
      </c>
      <c r="D98" s="106">
        <f t="shared" si="205"/>
        <v>0.59697791502322661</v>
      </c>
      <c r="E98" s="106">
        <f t="shared" si="205"/>
        <v>0</v>
      </c>
      <c r="F98" s="106">
        <f t="shared" si="205"/>
        <v>0</v>
      </c>
      <c r="G98" s="106">
        <f t="shared" si="205"/>
        <v>0</v>
      </c>
      <c r="H98" s="106">
        <f t="shared" ref="H98:J98" si="206">H86*H88</f>
        <v>3.7863176514696006E-2</v>
      </c>
      <c r="I98" s="106">
        <f t="shared" si="206"/>
        <v>3.6091148329925597E-2</v>
      </c>
      <c r="J98" s="106">
        <f t="shared" si="206"/>
        <v>3.200679504808715E-2</v>
      </c>
      <c r="K98" s="106">
        <f t="shared" ref="K98:M98" si="207">K86*K88</f>
        <v>1.3472103296065151E-2</v>
      </c>
      <c r="L98" s="106">
        <f t="shared" si="207"/>
        <v>2.3627458096468521E-2</v>
      </c>
      <c r="M98" s="106">
        <f t="shared" si="207"/>
        <v>2.155136413813832E-2</v>
      </c>
    </row>
    <row r="99" spans="1:13" s="107" customFormat="1" ht="15" customHeight="1">
      <c r="A99" s="108" t="s">
        <v>478</v>
      </c>
      <c r="B99" s="106">
        <f t="shared" ref="B99:G99" si="208">B87*B88</f>
        <v>0</v>
      </c>
      <c r="C99" s="106">
        <f t="shared" si="208"/>
        <v>0</v>
      </c>
      <c r="D99" s="106">
        <f t="shared" si="208"/>
        <v>0</v>
      </c>
      <c r="E99" s="106">
        <f t="shared" si="208"/>
        <v>0</v>
      </c>
      <c r="F99" s="106">
        <f t="shared" si="208"/>
        <v>0</v>
      </c>
      <c r="G99" s="106">
        <f t="shared" si="208"/>
        <v>0</v>
      </c>
      <c r="H99" s="106">
        <f t="shared" ref="H99:J99" si="209">H87*H88</f>
        <v>1.662498390934888E-4</v>
      </c>
      <c r="I99" s="106">
        <f t="shared" si="209"/>
        <v>1.0242488702824591E-3</v>
      </c>
      <c r="J99" s="106">
        <f t="shared" si="209"/>
        <v>5.0631558621414474E-4</v>
      </c>
      <c r="K99" s="106">
        <f t="shared" ref="K99:M99" si="210">K87*K88</f>
        <v>5.3017777586829434E-3</v>
      </c>
      <c r="L99" s="106">
        <f t="shared" si="210"/>
        <v>1.7096065396451591E-3</v>
      </c>
      <c r="M99" s="106">
        <f t="shared" si="210"/>
        <v>2.751835794369059E-3</v>
      </c>
    </row>
    <row r="100" spans="1:13" s="107" customFormat="1" ht="15" customHeight="1">
      <c r="A100" s="108" t="s">
        <v>476</v>
      </c>
      <c r="B100" s="106">
        <f t="shared" ref="B100:G100" si="211">SUM(B90:B99)</f>
        <v>4</v>
      </c>
      <c r="C100" s="106">
        <f t="shared" si="211"/>
        <v>4</v>
      </c>
      <c r="D100" s="106">
        <f t="shared" si="211"/>
        <v>4.0000000000000009</v>
      </c>
      <c r="E100" s="106">
        <f t="shared" si="211"/>
        <v>4</v>
      </c>
      <c r="F100" s="106">
        <f t="shared" si="211"/>
        <v>3.9999999999999996</v>
      </c>
      <c r="G100" s="106">
        <f t="shared" si="211"/>
        <v>4</v>
      </c>
      <c r="H100" s="106">
        <f t="shared" ref="H100:J100" si="212">SUM(H90:H99)</f>
        <v>4.0000000000000009</v>
      </c>
      <c r="I100" s="106">
        <f t="shared" si="212"/>
        <v>4</v>
      </c>
      <c r="J100" s="106">
        <f t="shared" si="212"/>
        <v>4</v>
      </c>
      <c r="K100" s="106">
        <f t="shared" ref="K100:M100" si="213">SUM(K90:K99)</f>
        <v>4</v>
      </c>
      <c r="L100" s="106">
        <f t="shared" si="213"/>
        <v>4.0000000000000009</v>
      </c>
      <c r="M100" s="106">
        <f t="shared" si="213"/>
        <v>4</v>
      </c>
    </row>
    <row r="101" spans="1:13" s="107" customFormat="1" ht="15" customHeight="1">
      <c r="A101" s="108" t="s">
        <v>491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</row>
    <row r="102" spans="1:13" s="107" customFormat="1" ht="15" customHeight="1">
      <c r="A102" s="108" t="s">
        <v>488</v>
      </c>
      <c r="B102" s="106">
        <f t="shared" ref="B102:G105" si="214">B90</f>
        <v>1.4328612127482876E-2</v>
      </c>
      <c r="C102" s="106">
        <f t="shared" si="214"/>
        <v>0</v>
      </c>
      <c r="D102" s="106">
        <f t="shared" si="214"/>
        <v>0</v>
      </c>
      <c r="E102" s="106">
        <f t="shared" si="214"/>
        <v>2.7527311185862425E-2</v>
      </c>
      <c r="F102" s="106">
        <f t="shared" si="214"/>
        <v>0</v>
      </c>
      <c r="G102" s="106">
        <f t="shared" si="214"/>
        <v>5.5562278517782013E-3</v>
      </c>
      <c r="H102" s="106">
        <f t="shared" ref="H102:J102" si="215">H90</f>
        <v>1.7682431519191746E-3</v>
      </c>
      <c r="I102" s="106">
        <f t="shared" si="215"/>
        <v>3.4644952371332777E-2</v>
      </c>
      <c r="J102" s="106">
        <f t="shared" si="215"/>
        <v>1.5678057804869373E-3</v>
      </c>
      <c r="K102" s="106">
        <f t="shared" ref="K102:M102" si="216">K90</f>
        <v>7.7336906316557196E-3</v>
      </c>
      <c r="L102" s="106">
        <f t="shared" si="216"/>
        <v>8.1033335369882914E-2</v>
      </c>
      <c r="M102" s="106">
        <f t="shared" si="216"/>
        <v>8.8357355796857794E-3</v>
      </c>
    </row>
    <row r="103" spans="1:13" s="107" customFormat="1" ht="15" customHeight="1">
      <c r="A103" s="108" t="s">
        <v>487</v>
      </c>
      <c r="B103" s="106">
        <f t="shared" si="214"/>
        <v>7.6978236696041496E-4</v>
      </c>
      <c r="C103" s="106">
        <f t="shared" si="214"/>
        <v>0</v>
      </c>
      <c r="D103" s="106">
        <f t="shared" si="214"/>
        <v>0</v>
      </c>
      <c r="E103" s="106">
        <f t="shared" si="214"/>
        <v>0</v>
      </c>
      <c r="F103" s="106">
        <f t="shared" si="214"/>
        <v>1.171480676739133</v>
      </c>
      <c r="G103" s="106">
        <f t="shared" si="214"/>
        <v>1.4858651058135398E-2</v>
      </c>
      <c r="H103" s="106">
        <f t="shared" ref="H103:J103" si="217">H91</f>
        <v>3.8038744961824647E-2</v>
      </c>
      <c r="I103" s="106">
        <f t="shared" si="217"/>
        <v>2.3936821971181885E-2</v>
      </c>
      <c r="J103" s="106">
        <f t="shared" si="217"/>
        <v>4.3769476054144142E-2</v>
      </c>
      <c r="K103" s="106">
        <f t="shared" ref="K103:M103" si="218">K91</f>
        <v>5.2578201328883627E-2</v>
      </c>
      <c r="L103" s="106">
        <f t="shared" si="218"/>
        <v>4.402451088314803E-2</v>
      </c>
      <c r="M103" s="106">
        <f t="shared" si="218"/>
        <v>4.0271235323274736E-2</v>
      </c>
    </row>
    <row r="104" spans="1:13" s="107" customFormat="1" ht="15" customHeight="1">
      <c r="A104" s="108" t="s">
        <v>486</v>
      </c>
      <c r="B104" s="106">
        <f t="shared" si="214"/>
        <v>2.933238873144576</v>
      </c>
      <c r="C104" s="106">
        <f t="shared" si="214"/>
        <v>3.0013595751648339</v>
      </c>
      <c r="D104" s="106">
        <f t="shared" si="214"/>
        <v>3.0012665604565418</v>
      </c>
      <c r="E104" s="106">
        <f t="shared" si="214"/>
        <v>1.8923901517468124E-2</v>
      </c>
      <c r="F104" s="106">
        <f t="shared" si="214"/>
        <v>0.31156557946026131</v>
      </c>
      <c r="G104" s="106">
        <f t="shared" si="214"/>
        <v>1.1786439874513572</v>
      </c>
      <c r="H104" s="106">
        <f t="shared" ref="H104:J104" si="219">H92</f>
        <v>5.8916885595833579E-2</v>
      </c>
      <c r="I104" s="106">
        <f t="shared" si="219"/>
        <v>5.3432469789996564E-2</v>
      </c>
      <c r="J104" s="106">
        <f t="shared" si="219"/>
        <v>5.2446729677178547E-2</v>
      </c>
      <c r="K104" s="106">
        <f t="shared" ref="K104:M104" si="220">K92</f>
        <v>7.8094660620401019E-2</v>
      </c>
      <c r="L104" s="106">
        <f t="shared" si="220"/>
        <v>9.2141309655709491E-2</v>
      </c>
      <c r="M104" s="106">
        <f t="shared" si="220"/>
        <v>6.4733693155180322E-2</v>
      </c>
    </row>
    <row r="105" spans="1:13" s="107" customFormat="1" ht="15" customHeight="1">
      <c r="A105" s="108" t="s">
        <v>485</v>
      </c>
      <c r="B105" s="106">
        <f t="shared" si="214"/>
        <v>9.1027689199154791E-4</v>
      </c>
      <c r="C105" s="106">
        <f t="shared" si="214"/>
        <v>0</v>
      </c>
      <c r="D105" s="106">
        <f t="shared" si="214"/>
        <v>0</v>
      </c>
      <c r="E105" s="106">
        <f t="shared" si="214"/>
        <v>0</v>
      </c>
      <c r="F105" s="106">
        <f t="shared" si="214"/>
        <v>0</v>
      </c>
      <c r="G105" s="106">
        <f t="shared" si="214"/>
        <v>1.6033111626714194</v>
      </c>
      <c r="H105" s="106">
        <f t="shared" ref="H105:J105" si="221">H93</f>
        <v>2.5144669850240668</v>
      </c>
      <c r="I105" s="106">
        <f t="shared" si="221"/>
        <v>2.6015876659811181</v>
      </c>
      <c r="J105" s="106">
        <f t="shared" si="221"/>
        <v>2.4678034957449388</v>
      </c>
      <c r="K105" s="106">
        <f t="shared" ref="K105:M105" si="222">K93</f>
        <v>2.5050113343431373</v>
      </c>
      <c r="L105" s="106">
        <f t="shared" si="222"/>
        <v>2.4629301595512336</v>
      </c>
      <c r="M105" s="106">
        <f t="shared" si="222"/>
        <v>2.586367304185468</v>
      </c>
    </row>
    <row r="106" spans="1:13" s="107" customFormat="1" ht="15" customHeight="1">
      <c r="A106" s="108" t="s">
        <v>484</v>
      </c>
      <c r="B106" s="107">
        <f t="shared" ref="B106:G106" si="223">IF(B94&gt;1,IF(B103&lt;1,B94-1,0),0)</f>
        <v>0</v>
      </c>
      <c r="C106" s="107">
        <f t="shared" si="223"/>
        <v>0</v>
      </c>
      <c r="D106" s="107">
        <f t="shared" si="223"/>
        <v>0</v>
      </c>
      <c r="E106" s="107">
        <f t="shared" si="223"/>
        <v>2.9535487872966697</v>
      </c>
      <c r="F106" s="107">
        <f t="shared" si="223"/>
        <v>0</v>
      </c>
      <c r="G106" s="107">
        <f t="shared" si="223"/>
        <v>0</v>
      </c>
      <c r="H106" s="107">
        <f t="shared" ref="H106:J106" si="224">IF(H94&gt;1,IF(H103&lt;1,H94-1,0),0)</f>
        <v>0.23055068050406868</v>
      </c>
      <c r="I106" s="107">
        <f t="shared" si="224"/>
        <v>0.12145658614848887</v>
      </c>
      <c r="J106" s="107">
        <f t="shared" si="224"/>
        <v>0.28385434438749679</v>
      </c>
      <c r="K106" s="107">
        <f t="shared" ref="K106:M106" si="225">IF(K94&gt;1,IF(K103&lt;1,K94-1,0),0)</f>
        <v>0.16870781012276925</v>
      </c>
      <c r="L106" s="107">
        <f t="shared" si="225"/>
        <v>9.2056237812691899E-2</v>
      </c>
      <c r="M106" s="107">
        <f t="shared" si="225"/>
        <v>0.11708914907848844</v>
      </c>
    </row>
    <row r="107" spans="1:13" s="107" customFormat="1" ht="15" customHeight="1">
      <c r="A107" s="108" t="s">
        <v>483</v>
      </c>
      <c r="B107" s="106">
        <f t="shared" ref="B107:G107" si="226">IF(B94&gt;1,IF(B103&lt;1,1,B94),B94)</f>
        <v>0.33569292998197625</v>
      </c>
      <c r="C107" s="106">
        <f t="shared" si="226"/>
        <v>0.81159733467911754</v>
      </c>
      <c r="D107" s="106">
        <f t="shared" si="226"/>
        <v>0.25621346579593091</v>
      </c>
      <c r="E107" s="106">
        <f t="shared" si="226"/>
        <v>1</v>
      </c>
      <c r="F107" s="106">
        <f t="shared" si="226"/>
        <v>2.5047325244643215</v>
      </c>
      <c r="G107" s="106">
        <f t="shared" si="226"/>
        <v>0.39826910638185214</v>
      </c>
      <c r="H107" s="106">
        <f t="shared" ref="H107:J107" si="227">IF(H94&gt;1,IF(H103&lt;1,1,H94),H94)</f>
        <v>1</v>
      </c>
      <c r="I107" s="106">
        <f t="shared" si="227"/>
        <v>1</v>
      </c>
      <c r="J107" s="106">
        <f t="shared" si="227"/>
        <v>1</v>
      </c>
      <c r="K107" s="106">
        <f t="shared" ref="K107:M107" si="228">IF(K94&gt;1,IF(K103&lt;1,1,K94),K94)</f>
        <v>1</v>
      </c>
      <c r="L107" s="106">
        <f t="shared" si="228"/>
        <v>1</v>
      </c>
      <c r="M107" s="106">
        <f t="shared" si="228"/>
        <v>1</v>
      </c>
    </row>
    <row r="108" spans="1:13" s="107" customFormat="1" ht="15" customHeight="1">
      <c r="A108" s="108" t="s">
        <v>482</v>
      </c>
      <c r="B108" s="106">
        <f t="shared" ref="B108:G112" si="229">B95</f>
        <v>2.1669796825767531E-4</v>
      </c>
      <c r="C108" s="106">
        <f t="shared" si="229"/>
        <v>4.7377999751947366E-3</v>
      </c>
      <c r="D108" s="106">
        <f t="shared" si="229"/>
        <v>1.9771436645253677E-3</v>
      </c>
      <c r="E108" s="106">
        <f t="shared" si="229"/>
        <v>0</v>
      </c>
      <c r="F108" s="106">
        <f t="shared" si="229"/>
        <v>0</v>
      </c>
      <c r="G108" s="106">
        <f t="shared" si="229"/>
        <v>7.8427349246977338E-3</v>
      </c>
      <c r="H108" s="106">
        <f t="shared" ref="H108:J108" si="230">H95</f>
        <v>1.9390328102695548E-2</v>
      </c>
      <c r="I108" s="106">
        <f t="shared" si="230"/>
        <v>1.7982833117028255E-2</v>
      </c>
      <c r="J108" s="106">
        <f t="shared" si="230"/>
        <v>1.7539320519149144E-2</v>
      </c>
      <c r="K108" s="106">
        <f t="shared" ref="K108:M108" si="231">K95</f>
        <v>2.1879538434310897E-2</v>
      </c>
      <c r="L108" s="106">
        <f t="shared" si="231"/>
        <v>2.10527582756234E-2</v>
      </c>
      <c r="M108" s="106">
        <f t="shared" si="231"/>
        <v>1.9919751850642004E-2</v>
      </c>
    </row>
    <row r="109" spans="1:13" s="107" customFormat="1" ht="15" customHeight="1">
      <c r="A109" s="108" t="s">
        <v>481</v>
      </c>
      <c r="B109" s="106">
        <f t="shared" si="229"/>
        <v>0.71484282751875527</v>
      </c>
      <c r="C109" s="106">
        <f t="shared" si="229"/>
        <v>0.17930868238627207</v>
      </c>
      <c r="D109" s="106">
        <f t="shared" si="229"/>
        <v>0.14356491505977592</v>
      </c>
      <c r="E109" s="106">
        <f t="shared" si="229"/>
        <v>0</v>
      </c>
      <c r="F109" s="106">
        <f t="shared" si="229"/>
        <v>1.2221219336283397E-2</v>
      </c>
      <c r="G109" s="106">
        <f t="shared" si="229"/>
        <v>0.79151812966075974</v>
      </c>
      <c r="H109" s="106">
        <f t="shared" ref="H109:J109" si="232">H96</f>
        <v>9.8141645201982389E-2</v>
      </c>
      <c r="I109" s="106">
        <f t="shared" si="232"/>
        <v>0.10960373637858173</v>
      </c>
      <c r="J109" s="106">
        <f t="shared" si="232"/>
        <v>0.10017061817616646</v>
      </c>
      <c r="K109" s="106">
        <f t="shared" ref="K109:M109" si="233">K96</f>
        <v>0.14665745001889896</v>
      </c>
      <c r="L109" s="106">
        <f t="shared" si="233"/>
        <v>0.18081717296990465</v>
      </c>
      <c r="M109" s="106">
        <f t="shared" si="233"/>
        <v>0.13847993089475336</v>
      </c>
    </row>
    <row r="110" spans="1:13" s="107" customFormat="1" ht="15" customHeight="1">
      <c r="A110" s="108" t="s">
        <v>480</v>
      </c>
      <c r="B110" s="106">
        <f t="shared" si="229"/>
        <v>0</v>
      </c>
      <c r="C110" s="106">
        <f t="shared" si="229"/>
        <v>2.9966077945819776E-3</v>
      </c>
      <c r="D110" s="106">
        <f t="shared" si="229"/>
        <v>0</v>
      </c>
      <c r="E110" s="106">
        <f t="shared" si="229"/>
        <v>0</v>
      </c>
      <c r="F110" s="106">
        <f t="shared" si="229"/>
        <v>0</v>
      </c>
      <c r="G110" s="106">
        <f t="shared" si="229"/>
        <v>0</v>
      </c>
      <c r="H110" s="106">
        <f t="shared" ref="H110:J110" si="234">H97</f>
        <v>6.9706110382051947E-4</v>
      </c>
      <c r="I110" s="106">
        <f t="shared" si="234"/>
        <v>2.395370420637618E-4</v>
      </c>
      <c r="J110" s="106">
        <f t="shared" si="234"/>
        <v>3.350990261371892E-4</v>
      </c>
      <c r="K110" s="106">
        <f t="shared" ref="K110:M110" si="235">K97</f>
        <v>5.6343344519564501E-4</v>
      </c>
      <c r="L110" s="106">
        <f t="shared" si="235"/>
        <v>6.0745084569244331E-4</v>
      </c>
      <c r="M110" s="106">
        <f t="shared" si="235"/>
        <v>0</v>
      </c>
    </row>
    <row r="111" spans="1:13" s="107" customFormat="1" ht="15" customHeight="1">
      <c r="A111" s="108" t="s">
        <v>479</v>
      </c>
      <c r="B111" s="106">
        <f t="shared" si="229"/>
        <v>0</v>
      </c>
      <c r="C111" s="106">
        <f t="shared" si="229"/>
        <v>0</v>
      </c>
      <c r="D111" s="106">
        <f t="shared" si="229"/>
        <v>0.59697791502322661</v>
      </c>
      <c r="E111" s="106">
        <f t="shared" si="229"/>
        <v>0</v>
      </c>
      <c r="F111" s="106">
        <f t="shared" si="229"/>
        <v>0</v>
      </c>
      <c r="G111" s="106">
        <f t="shared" si="229"/>
        <v>0</v>
      </c>
      <c r="H111" s="106">
        <f t="shared" ref="H111:J111" si="236">H98</f>
        <v>3.7863176514696006E-2</v>
      </c>
      <c r="I111" s="106">
        <f t="shared" si="236"/>
        <v>3.6091148329925597E-2</v>
      </c>
      <c r="J111" s="106">
        <f t="shared" si="236"/>
        <v>3.200679504808715E-2</v>
      </c>
      <c r="K111" s="106">
        <f t="shared" ref="K111:M111" si="237">K98</f>
        <v>1.3472103296065151E-2</v>
      </c>
      <c r="L111" s="106">
        <f t="shared" si="237"/>
        <v>2.3627458096468521E-2</v>
      </c>
      <c r="M111" s="106">
        <f t="shared" si="237"/>
        <v>2.155136413813832E-2</v>
      </c>
    </row>
    <row r="112" spans="1:13" s="107" customFormat="1" ht="15" customHeight="1">
      <c r="A112" s="108" t="s">
        <v>478</v>
      </c>
      <c r="B112" s="106">
        <f t="shared" si="229"/>
        <v>0</v>
      </c>
      <c r="C112" s="106">
        <f t="shared" si="229"/>
        <v>0</v>
      </c>
      <c r="D112" s="106">
        <f t="shared" si="229"/>
        <v>0</v>
      </c>
      <c r="E112" s="106">
        <f t="shared" si="229"/>
        <v>0</v>
      </c>
      <c r="F112" s="106">
        <f t="shared" si="229"/>
        <v>0</v>
      </c>
      <c r="G112" s="106">
        <f t="shared" si="229"/>
        <v>0</v>
      </c>
      <c r="H112" s="106">
        <f t="shared" ref="H112:J112" si="238">H99</f>
        <v>1.662498390934888E-4</v>
      </c>
      <c r="I112" s="106">
        <f t="shared" si="238"/>
        <v>1.0242488702824591E-3</v>
      </c>
      <c r="J112" s="106">
        <f t="shared" si="238"/>
        <v>5.0631558621414474E-4</v>
      </c>
      <c r="K112" s="106">
        <f t="shared" ref="K112:M112" si="239">K99</f>
        <v>5.3017777586829434E-3</v>
      </c>
      <c r="L112" s="106">
        <f t="shared" si="239"/>
        <v>1.7096065396451591E-3</v>
      </c>
      <c r="M112" s="106">
        <f t="shared" si="239"/>
        <v>2.751835794369059E-3</v>
      </c>
    </row>
    <row r="113" spans="1:13" s="107" customFormat="1" ht="15" customHeight="1">
      <c r="A113" s="108" t="s">
        <v>476</v>
      </c>
      <c r="B113" s="106">
        <f t="shared" ref="B113:G113" si="240">SUM(B102:B112)</f>
        <v>4</v>
      </c>
      <c r="C113" s="106">
        <f t="shared" si="240"/>
        <v>4</v>
      </c>
      <c r="D113" s="106">
        <f t="shared" si="240"/>
        <v>4.0000000000000009</v>
      </c>
      <c r="E113" s="106">
        <f t="shared" si="240"/>
        <v>4</v>
      </c>
      <c r="F113" s="106">
        <f t="shared" si="240"/>
        <v>3.9999999999999996</v>
      </c>
      <c r="G113" s="106">
        <f t="shared" si="240"/>
        <v>4</v>
      </c>
      <c r="H113" s="106">
        <f t="shared" ref="H113:J113" si="241">SUM(H102:H112)</f>
        <v>4.0000000000000009</v>
      </c>
      <c r="I113" s="106">
        <f t="shared" si="241"/>
        <v>4</v>
      </c>
      <c r="J113" s="106">
        <f t="shared" si="241"/>
        <v>4</v>
      </c>
      <c r="K113" s="106">
        <f t="shared" ref="K113:M113" si="242">SUM(K102:K112)</f>
        <v>4</v>
      </c>
      <c r="L113" s="106">
        <f t="shared" si="242"/>
        <v>4.0000000000000009</v>
      </c>
      <c r="M113" s="106">
        <f t="shared" si="242"/>
        <v>4</v>
      </c>
    </row>
    <row r="114" spans="1:13" s="107" customFormat="1" ht="15" customHeight="1">
      <c r="A114" s="108" t="s">
        <v>490</v>
      </c>
      <c r="B114" s="106">
        <f t="shared" ref="B114:G114" si="243">4/B113</f>
        <v>1</v>
      </c>
      <c r="C114" s="106">
        <f t="shared" si="243"/>
        <v>1</v>
      </c>
      <c r="D114" s="106">
        <f t="shared" si="243"/>
        <v>0.99999999999999978</v>
      </c>
      <c r="E114" s="106">
        <f t="shared" si="243"/>
        <v>1</v>
      </c>
      <c r="F114" s="106">
        <f t="shared" si="243"/>
        <v>1</v>
      </c>
      <c r="G114" s="106">
        <f t="shared" si="243"/>
        <v>1</v>
      </c>
      <c r="H114" s="106">
        <f t="shared" ref="H114:J114" si="244">4/H113</f>
        <v>0.99999999999999978</v>
      </c>
      <c r="I114" s="106">
        <f t="shared" si="244"/>
        <v>1</v>
      </c>
      <c r="J114" s="106">
        <f t="shared" si="244"/>
        <v>1</v>
      </c>
      <c r="K114" s="106">
        <f t="shared" ref="K114:M114" si="245">4/K113</f>
        <v>1</v>
      </c>
      <c r="L114" s="106">
        <f t="shared" si="245"/>
        <v>0.99999999999999978</v>
      </c>
      <c r="M114" s="106">
        <f t="shared" si="245"/>
        <v>1</v>
      </c>
    </row>
    <row r="115" spans="1:13" s="107" customFormat="1" ht="15" customHeight="1">
      <c r="A115" s="108" t="s">
        <v>489</v>
      </c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</row>
    <row r="116" spans="1:13" s="107" customFormat="1" ht="15" customHeight="1">
      <c r="A116" s="108" t="s">
        <v>488</v>
      </c>
      <c r="B116" s="106">
        <f t="shared" ref="B116:G116" si="246">B102*B114</f>
        <v>1.4328612127482876E-2</v>
      </c>
      <c r="C116" s="106">
        <f t="shared" si="246"/>
        <v>0</v>
      </c>
      <c r="D116" s="106">
        <f t="shared" si="246"/>
        <v>0</v>
      </c>
      <c r="E116" s="106">
        <f t="shared" si="246"/>
        <v>2.7527311185862425E-2</v>
      </c>
      <c r="F116" s="106">
        <f t="shared" si="246"/>
        <v>0</v>
      </c>
      <c r="G116" s="106">
        <f t="shared" si="246"/>
        <v>5.5562278517782013E-3</v>
      </c>
      <c r="H116" s="106">
        <f t="shared" ref="H116:J116" si="247">H102*H114</f>
        <v>1.7682431519191741E-3</v>
      </c>
      <c r="I116" s="106">
        <f t="shared" si="247"/>
        <v>3.4644952371332777E-2</v>
      </c>
      <c r="J116" s="106">
        <f t="shared" si="247"/>
        <v>1.5678057804869373E-3</v>
      </c>
      <c r="K116" s="106">
        <f t="shared" ref="K116:M116" si="248">K102*K114</f>
        <v>7.7336906316557196E-3</v>
      </c>
      <c r="L116" s="106">
        <f t="shared" si="248"/>
        <v>8.10333353698829E-2</v>
      </c>
      <c r="M116" s="106">
        <f t="shared" si="248"/>
        <v>8.8357355796857794E-3</v>
      </c>
    </row>
    <row r="117" spans="1:13" s="107" customFormat="1" ht="15" customHeight="1">
      <c r="A117" s="108" t="s">
        <v>487</v>
      </c>
      <c r="B117" s="106">
        <f t="shared" ref="B117:G117" si="249">B103*B114</f>
        <v>7.6978236696041496E-4</v>
      </c>
      <c r="C117" s="106">
        <f t="shared" si="249"/>
        <v>0</v>
      </c>
      <c r="D117" s="106">
        <f t="shared" si="249"/>
        <v>0</v>
      </c>
      <c r="E117" s="106">
        <f t="shared" si="249"/>
        <v>0</v>
      </c>
      <c r="F117" s="106">
        <f t="shared" si="249"/>
        <v>1.171480676739133</v>
      </c>
      <c r="G117" s="106">
        <f t="shared" si="249"/>
        <v>1.4858651058135398E-2</v>
      </c>
      <c r="H117" s="106">
        <f t="shared" ref="H117:J117" si="250">H103*H114</f>
        <v>3.803874496182464E-2</v>
      </c>
      <c r="I117" s="106">
        <f t="shared" si="250"/>
        <v>2.3936821971181885E-2</v>
      </c>
      <c r="J117" s="106">
        <f t="shared" si="250"/>
        <v>4.3769476054144142E-2</v>
      </c>
      <c r="K117" s="106">
        <f t="shared" ref="K117:M117" si="251">K103*K114</f>
        <v>5.2578201328883627E-2</v>
      </c>
      <c r="L117" s="106">
        <f t="shared" si="251"/>
        <v>4.4024510883148023E-2</v>
      </c>
      <c r="M117" s="106">
        <f t="shared" si="251"/>
        <v>4.0271235323274736E-2</v>
      </c>
    </row>
    <row r="118" spans="1:13" s="107" customFormat="1" ht="15" customHeight="1">
      <c r="A118" s="108" t="s">
        <v>486</v>
      </c>
      <c r="B118" s="106">
        <f t="shared" ref="B118:G118" si="252">B104*B114</f>
        <v>2.933238873144576</v>
      </c>
      <c r="C118" s="106">
        <f t="shared" si="252"/>
        <v>3.0013595751648339</v>
      </c>
      <c r="D118" s="106">
        <f t="shared" si="252"/>
        <v>3.0012665604565409</v>
      </c>
      <c r="E118" s="106">
        <f t="shared" si="252"/>
        <v>1.8923901517468124E-2</v>
      </c>
      <c r="F118" s="106">
        <f t="shared" si="252"/>
        <v>0.31156557946026131</v>
      </c>
      <c r="G118" s="106">
        <f t="shared" si="252"/>
        <v>1.1786439874513572</v>
      </c>
      <c r="H118" s="106">
        <f t="shared" ref="H118:J118" si="253">H104*H114</f>
        <v>5.8916885595833565E-2</v>
      </c>
      <c r="I118" s="106">
        <f t="shared" si="253"/>
        <v>5.3432469789996564E-2</v>
      </c>
      <c r="J118" s="106">
        <f t="shared" si="253"/>
        <v>5.2446729677178547E-2</v>
      </c>
      <c r="K118" s="106">
        <f t="shared" ref="K118:M118" si="254">K104*K114</f>
        <v>7.8094660620401019E-2</v>
      </c>
      <c r="L118" s="106">
        <f t="shared" si="254"/>
        <v>9.2141309655709477E-2</v>
      </c>
      <c r="M118" s="106">
        <f t="shared" si="254"/>
        <v>6.4733693155180322E-2</v>
      </c>
    </row>
    <row r="119" spans="1:13" s="107" customFormat="1" ht="15" customHeight="1">
      <c r="A119" s="108" t="s">
        <v>485</v>
      </c>
      <c r="B119" s="106">
        <f t="shared" ref="B119:G119" si="255">B105*B114</f>
        <v>9.1027689199154791E-4</v>
      </c>
      <c r="C119" s="106">
        <f t="shared" si="255"/>
        <v>0</v>
      </c>
      <c r="D119" s="106">
        <f t="shared" si="255"/>
        <v>0</v>
      </c>
      <c r="E119" s="106">
        <f t="shared" si="255"/>
        <v>0</v>
      </c>
      <c r="F119" s="106">
        <f t="shared" si="255"/>
        <v>0</v>
      </c>
      <c r="G119" s="106">
        <f t="shared" si="255"/>
        <v>1.6033111626714194</v>
      </c>
      <c r="H119" s="106">
        <f t="shared" ref="H119:J119" si="256">H105*H114</f>
        <v>2.5144669850240664</v>
      </c>
      <c r="I119" s="106">
        <f t="shared" si="256"/>
        <v>2.6015876659811181</v>
      </c>
      <c r="J119" s="106">
        <f t="shared" si="256"/>
        <v>2.4678034957449388</v>
      </c>
      <c r="K119" s="106">
        <f t="shared" ref="K119:M119" si="257">K105*K114</f>
        <v>2.5050113343431373</v>
      </c>
      <c r="L119" s="106">
        <f t="shared" si="257"/>
        <v>2.4629301595512332</v>
      </c>
      <c r="M119" s="106">
        <f t="shared" si="257"/>
        <v>2.586367304185468</v>
      </c>
    </row>
    <row r="120" spans="1:13" s="107" customFormat="1" ht="15" customHeight="1">
      <c r="A120" s="108" t="s">
        <v>484</v>
      </c>
      <c r="B120" s="106">
        <f t="shared" ref="B120:G120" si="258">B106*B114</f>
        <v>0</v>
      </c>
      <c r="C120" s="106">
        <f t="shared" si="258"/>
        <v>0</v>
      </c>
      <c r="D120" s="106">
        <f t="shared" si="258"/>
        <v>0</v>
      </c>
      <c r="E120" s="106">
        <f t="shared" si="258"/>
        <v>2.9535487872966697</v>
      </c>
      <c r="F120" s="106">
        <f t="shared" si="258"/>
        <v>0</v>
      </c>
      <c r="G120" s="106">
        <f t="shared" si="258"/>
        <v>0</v>
      </c>
      <c r="H120" s="106">
        <f t="shared" ref="H120:J120" si="259">H106*H114</f>
        <v>0.23055068050406863</v>
      </c>
      <c r="I120" s="106">
        <f t="shared" si="259"/>
        <v>0.12145658614848887</v>
      </c>
      <c r="J120" s="106">
        <f t="shared" si="259"/>
        <v>0.28385434438749679</v>
      </c>
      <c r="K120" s="106">
        <f t="shared" ref="K120:M120" si="260">K106*K114</f>
        <v>0.16870781012276925</v>
      </c>
      <c r="L120" s="106">
        <f t="shared" si="260"/>
        <v>9.2056237812691885E-2</v>
      </c>
      <c r="M120" s="106">
        <f t="shared" si="260"/>
        <v>0.11708914907848844</v>
      </c>
    </row>
    <row r="121" spans="1:13" s="107" customFormat="1" ht="15" customHeight="1">
      <c r="A121" s="108" t="s">
        <v>483</v>
      </c>
      <c r="B121" s="106">
        <f t="shared" ref="B121:G121" si="261">B107*B114</f>
        <v>0.33569292998197625</v>
      </c>
      <c r="C121" s="106">
        <f t="shared" si="261"/>
        <v>0.81159733467911754</v>
      </c>
      <c r="D121" s="106">
        <f t="shared" si="261"/>
        <v>0.25621346579593085</v>
      </c>
      <c r="E121" s="106">
        <f t="shared" si="261"/>
        <v>1</v>
      </c>
      <c r="F121" s="106">
        <f t="shared" si="261"/>
        <v>2.5047325244643215</v>
      </c>
      <c r="G121" s="106">
        <f t="shared" si="261"/>
        <v>0.39826910638185214</v>
      </c>
      <c r="H121" s="106">
        <f t="shared" ref="H121:J121" si="262">H107*H114</f>
        <v>0.99999999999999978</v>
      </c>
      <c r="I121" s="106">
        <f t="shared" si="262"/>
        <v>1</v>
      </c>
      <c r="J121" s="106">
        <f t="shared" si="262"/>
        <v>1</v>
      </c>
      <c r="K121" s="106">
        <f t="shared" ref="K121:M121" si="263">K107*K114</f>
        <v>1</v>
      </c>
      <c r="L121" s="106">
        <f t="shared" si="263"/>
        <v>0.99999999999999978</v>
      </c>
      <c r="M121" s="106">
        <f t="shared" si="263"/>
        <v>1</v>
      </c>
    </row>
    <row r="122" spans="1:13" s="107" customFormat="1" ht="15" customHeight="1">
      <c r="A122" s="108" t="s">
        <v>482</v>
      </c>
      <c r="B122" s="106">
        <f t="shared" ref="B122:G122" si="264">B108*B114</f>
        <v>2.1669796825767531E-4</v>
      </c>
      <c r="C122" s="106">
        <f t="shared" si="264"/>
        <v>4.7377999751947366E-3</v>
      </c>
      <c r="D122" s="106">
        <f t="shared" si="264"/>
        <v>1.9771436645253672E-3</v>
      </c>
      <c r="E122" s="106">
        <f t="shared" si="264"/>
        <v>0</v>
      </c>
      <c r="F122" s="106">
        <f t="shared" si="264"/>
        <v>0</v>
      </c>
      <c r="G122" s="106">
        <f t="shared" si="264"/>
        <v>7.8427349246977338E-3</v>
      </c>
      <c r="H122" s="106">
        <f t="shared" ref="H122:J122" si="265">H108*H114</f>
        <v>1.9390328102695545E-2</v>
      </c>
      <c r="I122" s="106">
        <f t="shared" si="265"/>
        <v>1.7982833117028255E-2</v>
      </c>
      <c r="J122" s="106">
        <f t="shared" si="265"/>
        <v>1.7539320519149144E-2</v>
      </c>
      <c r="K122" s="106">
        <f t="shared" ref="K122:M122" si="266">K108*K114</f>
        <v>2.1879538434310897E-2</v>
      </c>
      <c r="L122" s="106">
        <f t="shared" si="266"/>
        <v>2.1052758275623397E-2</v>
      </c>
      <c r="M122" s="106">
        <f t="shared" si="266"/>
        <v>1.9919751850642004E-2</v>
      </c>
    </row>
    <row r="123" spans="1:13" s="107" customFormat="1" ht="15" customHeight="1">
      <c r="A123" s="108" t="s">
        <v>481</v>
      </c>
      <c r="B123" s="106">
        <f t="shared" ref="B123:G123" si="267">B109*B114</f>
        <v>0.71484282751875527</v>
      </c>
      <c r="C123" s="106">
        <f t="shared" si="267"/>
        <v>0.17930868238627207</v>
      </c>
      <c r="D123" s="106">
        <f t="shared" si="267"/>
        <v>0.14356491505977589</v>
      </c>
      <c r="E123" s="106">
        <f t="shared" si="267"/>
        <v>0</v>
      </c>
      <c r="F123" s="106">
        <f t="shared" si="267"/>
        <v>1.2221219336283397E-2</v>
      </c>
      <c r="G123" s="106">
        <f t="shared" si="267"/>
        <v>0.79151812966075974</v>
      </c>
      <c r="H123" s="106">
        <f t="shared" ref="H123:J123" si="268">H109*H114</f>
        <v>9.8141645201982361E-2</v>
      </c>
      <c r="I123" s="106">
        <f t="shared" si="268"/>
        <v>0.10960373637858173</v>
      </c>
      <c r="J123" s="106">
        <f t="shared" si="268"/>
        <v>0.10017061817616646</v>
      </c>
      <c r="K123" s="106">
        <f t="shared" ref="K123:M123" si="269">K109*K114</f>
        <v>0.14665745001889896</v>
      </c>
      <c r="L123" s="106">
        <f t="shared" si="269"/>
        <v>0.18081717296990463</v>
      </c>
      <c r="M123" s="106">
        <f t="shared" si="269"/>
        <v>0.13847993089475336</v>
      </c>
    </row>
    <row r="124" spans="1:13" s="107" customFormat="1" ht="15" customHeight="1">
      <c r="A124" s="108" t="s">
        <v>480</v>
      </c>
      <c r="B124" s="106">
        <f t="shared" ref="B124:G124" si="270">B110*B114</f>
        <v>0</v>
      </c>
      <c r="C124" s="106">
        <f t="shared" si="270"/>
        <v>2.9966077945819776E-3</v>
      </c>
      <c r="D124" s="106">
        <f t="shared" si="270"/>
        <v>0</v>
      </c>
      <c r="E124" s="106">
        <f t="shared" si="270"/>
        <v>0</v>
      </c>
      <c r="F124" s="106">
        <f t="shared" si="270"/>
        <v>0</v>
      </c>
      <c r="G124" s="106">
        <f t="shared" si="270"/>
        <v>0</v>
      </c>
      <c r="H124" s="106">
        <f t="shared" ref="H124:J124" si="271">H110*H114</f>
        <v>6.9706110382051936E-4</v>
      </c>
      <c r="I124" s="106">
        <f t="shared" si="271"/>
        <v>2.395370420637618E-4</v>
      </c>
      <c r="J124" s="106">
        <f t="shared" si="271"/>
        <v>3.350990261371892E-4</v>
      </c>
      <c r="K124" s="106">
        <f t="shared" ref="K124:M124" si="272">K110*K114</f>
        <v>5.6343344519564501E-4</v>
      </c>
      <c r="L124" s="106">
        <f t="shared" si="272"/>
        <v>6.074508456924432E-4</v>
      </c>
      <c r="M124" s="106">
        <f t="shared" si="272"/>
        <v>0</v>
      </c>
    </row>
    <row r="125" spans="1:13" s="107" customFormat="1" ht="15" customHeight="1">
      <c r="A125" s="108" t="s">
        <v>479</v>
      </c>
      <c r="B125" s="106">
        <f t="shared" ref="B125:G125" si="273">B111*B114</f>
        <v>0</v>
      </c>
      <c r="C125" s="106">
        <f t="shared" si="273"/>
        <v>0</v>
      </c>
      <c r="D125" s="106">
        <f t="shared" si="273"/>
        <v>0.5969779150232265</v>
      </c>
      <c r="E125" s="106">
        <f t="shared" si="273"/>
        <v>0</v>
      </c>
      <c r="F125" s="106">
        <f t="shared" si="273"/>
        <v>0</v>
      </c>
      <c r="G125" s="106">
        <f t="shared" si="273"/>
        <v>0</v>
      </c>
      <c r="H125" s="106">
        <f t="shared" ref="H125:J125" si="274">H111*H114</f>
        <v>3.7863176514695999E-2</v>
      </c>
      <c r="I125" s="106">
        <f t="shared" si="274"/>
        <v>3.6091148329925597E-2</v>
      </c>
      <c r="J125" s="106">
        <f t="shared" si="274"/>
        <v>3.200679504808715E-2</v>
      </c>
      <c r="K125" s="106">
        <f t="shared" ref="K125:M125" si="275">K111*K114</f>
        <v>1.3472103296065151E-2</v>
      </c>
      <c r="L125" s="106">
        <f t="shared" si="275"/>
        <v>2.3627458096468514E-2</v>
      </c>
      <c r="M125" s="106">
        <f t="shared" si="275"/>
        <v>2.155136413813832E-2</v>
      </c>
    </row>
    <row r="126" spans="1:13" s="107" customFormat="1" ht="15" customHeight="1">
      <c r="A126" s="108" t="s">
        <v>478</v>
      </c>
      <c r="B126" s="106">
        <f t="shared" ref="B126:G126" si="276">B112*B114</f>
        <v>0</v>
      </c>
      <c r="C126" s="106">
        <f t="shared" si="276"/>
        <v>0</v>
      </c>
      <c r="D126" s="106">
        <f t="shared" si="276"/>
        <v>0</v>
      </c>
      <c r="E126" s="106">
        <f t="shared" si="276"/>
        <v>0</v>
      </c>
      <c r="F126" s="106">
        <f t="shared" si="276"/>
        <v>0</v>
      </c>
      <c r="G126" s="106">
        <f t="shared" si="276"/>
        <v>0</v>
      </c>
      <c r="H126" s="106">
        <f t="shared" ref="H126:J126" si="277">H112*H114</f>
        <v>1.6624983909348877E-4</v>
      </c>
      <c r="I126" s="106">
        <f t="shared" si="277"/>
        <v>1.0242488702824591E-3</v>
      </c>
      <c r="J126" s="106">
        <f t="shared" si="277"/>
        <v>5.0631558621414474E-4</v>
      </c>
      <c r="K126" s="106">
        <f t="shared" ref="K126:M126" si="278">K112*K114</f>
        <v>5.3017777586829434E-3</v>
      </c>
      <c r="L126" s="106">
        <f t="shared" si="278"/>
        <v>1.7096065396451587E-3</v>
      </c>
      <c r="M126" s="106">
        <f t="shared" si="278"/>
        <v>2.751835794369059E-3</v>
      </c>
    </row>
    <row r="127" spans="1:13" s="107" customFormat="1" ht="15" customHeight="1">
      <c r="A127" s="108" t="s">
        <v>476</v>
      </c>
      <c r="B127" s="106">
        <f t="shared" ref="B127:G127" si="279">SUM(B116:B126)</f>
        <v>4</v>
      </c>
      <c r="C127" s="106">
        <f t="shared" si="279"/>
        <v>4</v>
      </c>
      <c r="D127" s="106">
        <f t="shared" si="279"/>
        <v>3.9999999999999996</v>
      </c>
      <c r="E127" s="106">
        <f t="shared" si="279"/>
        <v>4</v>
      </c>
      <c r="F127" s="106">
        <f t="shared" si="279"/>
        <v>3.9999999999999996</v>
      </c>
      <c r="G127" s="106">
        <f t="shared" si="279"/>
        <v>4</v>
      </c>
      <c r="H127" s="106">
        <f t="shared" ref="H127:J127" si="280">SUM(H116:H126)</f>
        <v>4</v>
      </c>
      <c r="I127" s="106">
        <f t="shared" si="280"/>
        <v>4</v>
      </c>
      <c r="J127" s="106">
        <f t="shared" si="280"/>
        <v>4</v>
      </c>
      <c r="K127" s="106">
        <f t="shared" ref="K127:M127" si="281">SUM(K116:K126)</f>
        <v>4</v>
      </c>
      <c r="L127" s="106">
        <f t="shared" si="281"/>
        <v>3.9999999999999996</v>
      </c>
      <c r="M127" s="106">
        <f t="shared" si="281"/>
        <v>4</v>
      </c>
    </row>
    <row r="128" spans="1:13" s="107" customFormat="1" ht="15" customHeight="1">
      <c r="A128" s="108" t="s">
        <v>477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</row>
    <row r="129" spans="1:13" s="107" customFormat="1" ht="15" customHeight="1">
      <c r="A129" s="108" t="s">
        <v>18</v>
      </c>
      <c r="B129" s="106">
        <f t="shared" ref="B129:G130" si="282">B116/2</f>
        <v>7.164306063741438E-3</v>
      </c>
      <c r="C129" s="106">
        <f t="shared" si="282"/>
        <v>0</v>
      </c>
      <c r="D129" s="106">
        <f t="shared" si="282"/>
        <v>0</v>
      </c>
      <c r="E129" s="106">
        <f t="shared" si="282"/>
        <v>1.3763655592931212E-2</v>
      </c>
      <c r="F129" s="106">
        <f t="shared" si="282"/>
        <v>0</v>
      </c>
      <c r="G129" s="106">
        <f t="shared" si="282"/>
        <v>2.7781139258891007E-3</v>
      </c>
      <c r="H129" s="106">
        <f t="shared" ref="H129:J129" si="283">H116/2</f>
        <v>8.8412157595958707E-4</v>
      </c>
      <c r="I129" s="106">
        <f t="shared" si="283"/>
        <v>1.7322476185666388E-2</v>
      </c>
      <c r="J129" s="106">
        <f t="shared" si="283"/>
        <v>7.8390289024346863E-4</v>
      </c>
      <c r="K129" s="106">
        <f t="shared" ref="K129:M129" si="284">K116/2</f>
        <v>3.8668453158278598E-3</v>
      </c>
      <c r="L129" s="106">
        <f t="shared" si="284"/>
        <v>4.051666768494145E-2</v>
      </c>
      <c r="M129" s="106">
        <f t="shared" si="284"/>
        <v>4.4178677898428897E-3</v>
      </c>
    </row>
    <row r="130" spans="1:13" s="107" customFormat="1" ht="15" customHeight="1">
      <c r="A130" s="108" t="s">
        <v>20</v>
      </c>
      <c r="B130" s="106">
        <f t="shared" si="282"/>
        <v>3.8489118348020748E-4</v>
      </c>
      <c r="C130" s="106">
        <f t="shared" si="282"/>
        <v>0</v>
      </c>
      <c r="D130" s="106">
        <f t="shared" si="282"/>
        <v>0</v>
      </c>
      <c r="E130" s="106">
        <f t="shared" si="282"/>
        <v>0</v>
      </c>
      <c r="F130" s="106">
        <f t="shared" si="282"/>
        <v>0.58574033836956652</v>
      </c>
      <c r="G130" s="106">
        <f t="shared" si="282"/>
        <v>7.429325529067699E-3</v>
      </c>
      <c r="H130" s="106">
        <f t="shared" ref="H130:J130" si="285">H117/2</f>
        <v>1.901937248091232E-2</v>
      </c>
      <c r="I130" s="106">
        <f t="shared" si="285"/>
        <v>1.1968410985590943E-2</v>
      </c>
      <c r="J130" s="106">
        <f t="shared" si="285"/>
        <v>2.1884738027072071E-2</v>
      </c>
      <c r="K130" s="106">
        <f t="shared" ref="K130:M130" si="286">K117/2</f>
        <v>2.6289100664441813E-2</v>
      </c>
      <c r="L130" s="106">
        <f t="shared" si="286"/>
        <v>2.2012255441574011E-2</v>
      </c>
      <c r="M130" s="106">
        <f t="shared" si="286"/>
        <v>2.0135617661637368E-2</v>
      </c>
    </row>
    <row r="131" spans="1:13" s="107" customFormat="1" ht="15" customHeight="1">
      <c r="A131" s="108" t="s">
        <v>177</v>
      </c>
      <c r="B131" s="106">
        <f t="shared" ref="B131:G133" si="287">B118/1.5</f>
        <v>1.955492582096384</v>
      </c>
      <c r="C131" s="106">
        <f t="shared" si="287"/>
        <v>2.0009063834432226</v>
      </c>
      <c r="D131" s="106">
        <f t="shared" si="287"/>
        <v>2.000844373637694</v>
      </c>
      <c r="E131" s="106">
        <f t="shared" si="287"/>
        <v>1.2615934344978749E-2</v>
      </c>
      <c r="F131" s="106">
        <f t="shared" si="287"/>
        <v>0.20771038630684088</v>
      </c>
      <c r="G131" s="106">
        <f t="shared" si="287"/>
        <v>0.78576265830090486</v>
      </c>
      <c r="H131" s="106">
        <f t="shared" ref="H131:J131" si="288">H118/1.5</f>
        <v>3.9277923730555712E-2</v>
      </c>
      <c r="I131" s="106">
        <f t="shared" si="288"/>
        <v>3.5621646526664379E-2</v>
      </c>
      <c r="J131" s="106">
        <f t="shared" si="288"/>
        <v>3.4964486451452365E-2</v>
      </c>
      <c r="K131" s="106">
        <f t="shared" ref="K131:M131" si="289">K118/1.5</f>
        <v>5.2063107080267346E-2</v>
      </c>
      <c r="L131" s="106">
        <f t="shared" si="289"/>
        <v>6.1427539770472987E-2</v>
      </c>
      <c r="M131" s="106">
        <f t="shared" si="289"/>
        <v>4.3155795436786881E-2</v>
      </c>
    </row>
    <row r="132" spans="1:13" s="107" customFormat="1" ht="15" customHeight="1">
      <c r="A132" s="108" t="s">
        <v>21</v>
      </c>
      <c r="B132" s="106">
        <f t="shared" si="287"/>
        <v>6.0685126132769857E-4</v>
      </c>
      <c r="C132" s="106">
        <f t="shared" si="287"/>
        <v>0</v>
      </c>
      <c r="D132" s="106">
        <f t="shared" si="287"/>
        <v>0</v>
      </c>
      <c r="E132" s="106">
        <f t="shared" si="287"/>
        <v>0</v>
      </c>
      <c r="F132" s="106">
        <f t="shared" si="287"/>
        <v>0</v>
      </c>
      <c r="G132" s="106">
        <f t="shared" si="287"/>
        <v>1.068874108447613</v>
      </c>
      <c r="H132" s="106">
        <f t="shared" ref="H132:J132" si="290">H119/1.5</f>
        <v>1.6763113233493776</v>
      </c>
      <c r="I132" s="106">
        <f t="shared" si="290"/>
        <v>1.7343917773207453</v>
      </c>
      <c r="J132" s="106">
        <f t="shared" si="290"/>
        <v>1.6452023304966259</v>
      </c>
      <c r="K132" s="106">
        <f t="shared" ref="K132:M132" si="291">K119/1.5</f>
        <v>1.6700075562287582</v>
      </c>
      <c r="L132" s="106">
        <f t="shared" si="291"/>
        <v>1.6419534397008222</v>
      </c>
      <c r="M132" s="106">
        <f t="shared" si="291"/>
        <v>1.7242448694569787</v>
      </c>
    </row>
    <row r="133" spans="1:13" s="107" customFormat="1" ht="15" customHeight="1">
      <c r="A133" s="108" t="s">
        <v>51</v>
      </c>
      <c r="B133" s="106">
        <f t="shared" si="287"/>
        <v>0</v>
      </c>
      <c r="C133" s="106">
        <f t="shared" si="287"/>
        <v>0</v>
      </c>
      <c r="D133" s="106">
        <f t="shared" si="287"/>
        <v>0</v>
      </c>
      <c r="E133" s="106">
        <f t="shared" si="287"/>
        <v>1.9690325248644465</v>
      </c>
      <c r="F133" s="106">
        <f t="shared" si="287"/>
        <v>0</v>
      </c>
      <c r="G133" s="106">
        <f t="shared" si="287"/>
        <v>0</v>
      </c>
      <c r="H133" s="106">
        <f t="shared" ref="H133:J133" si="292">H120/1.5</f>
        <v>0.15370045366937909</v>
      </c>
      <c r="I133" s="106">
        <f t="shared" si="292"/>
        <v>8.097105743232591E-2</v>
      </c>
      <c r="J133" s="106">
        <f t="shared" si="292"/>
        <v>0.18923622959166453</v>
      </c>
      <c r="K133" s="106">
        <f t="shared" ref="K133:M133" si="293">K120/1.5</f>
        <v>0.1124718734151795</v>
      </c>
      <c r="L133" s="106">
        <f t="shared" si="293"/>
        <v>6.1370825208461259E-2</v>
      </c>
      <c r="M133" s="106">
        <f t="shared" si="293"/>
        <v>7.8059432718992294E-2</v>
      </c>
    </row>
    <row r="134" spans="1:13" s="107" customFormat="1" ht="15" customHeight="1">
      <c r="A134" s="108" t="s">
        <v>52</v>
      </c>
      <c r="B134" s="106">
        <f t="shared" ref="B134:G139" si="294">B121</f>
        <v>0.33569292998197625</v>
      </c>
      <c r="C134" s="106">
        <f t="shared" si="294"/>
        <v>0.81159733467911754</v>
      </c>
      <c r="D134" s="106">
        <f t="shared" si="294"/>
        <v>0.25621346579593085</v>
      </c>
      <c r="E134" s="106">
        <f t="shared" si="294"/>
        <v>1</v>
      </c>
      <c r="F134" s="106">
        <f t="shared" si="294"/>
        <v>2.5047325244643215</v>
      </c>
      <c r="G134" s="106">
        <f t="shared" si="294"/>
        <v>0.39826910638185214</v>
      </c>
      <c r="H134" s="106">
        <f t="shared" ref="H134:J134" si="295">H121</f>
        <v>0.99999999999999978</v>
      </c>
      <c r="I134" s="106">
        <f t="shared" si="295"/>
        <v>1</v>
      </c>
      <c r="J134" s="106">
        <f t="shared" si="295"/>
        <v>1</v>
      </c>
      <c r="K134" s="106">
        <f t="shared" ref="K134:M134" si="296">K121</f>
        <v>1</v>
      </c>
      <c r="L134" s="106">
        <f t="shared" si="296"/>
        <v>0.99999999999999978</v>
      </c>
      <c r="M134" s="106">
        <f t="shared" si="296"/>
        <v>1</v>
      </c>
    </row>
    <row r="135" spans="1:13" s="107" customFormat="1" ht="15" customHeight="1">
      <c r="A135" s="108" t="s">
        <v>23</v>
      </c>
      <c r="B135" s="106">
        <f t="shared" si="294"/>
        <v>2.1669796825767531E-4</v>
      </c>
      <c r="C135" s="106">
        <f t="shared" si="294"/>
        <v>4.7377999751947366E-3</v>
      </c>
      <c r="D135" s="106">
        <f t="shared" si="294"/>
        <v>1.9771436645253672E-3</v>
      </c>
      <c r="E135" s="106">
        <f t="shared" si="294"/>
        <v>0</v>
      </c>
      <c r="F135" s="106">
        <f t="shared" si="294"/>
        <v>0</v>
      </c>
      <c r="G135" s="106">
        <f t="shared" si="294"/>
        <v>7.8427349246977338E-3</v>
      </c>
      <c r="H135" s="106">
        <f t="shared" ref="H135:J135" si="297">H122</f>
        <v>1.9390328102695545E-2</v>
      </c>
      <c r="I135" s="106">
        <f t="shared" si="297"/>
        <v>1.7982833117028255E-2</v>
      </c>
      <c r="J135" s="106">
        <f t="shared" si="297"/>
        <v>1.7539320519149144E-2</v>
      </c>
      <c r="K135" s="106">
        <f t="shared" ref="K135:M135" si="298">K122</f>
        <v>2.1879538434310897E-2</v>
      </c>
      <c r="L135" s="106">
        <f t="shared" si="298"/>
        <v>2.1052758275623397E-2</v>
      </c>
      <c r="M135" s="106">
        <f t="shared" si="298"/>
        <v>1.9919751850642004E-2</v>
      </c>
    </row>
    <row r="136" spans="1:13" s="107" customFormat="1" ht="15" customHeight="1">
      <c r="A136" s="108" t="s">
        <v>24</v>
      </c>
      <c r="B136" s="106">
        <f t="shared" si="294"/>
        <v>0.71484282751875527</v>
      </c>
      <c r="C136" s="106">
        <f t="shared" si="294"/>
        <v>0.17930868238627207</v>
      </c>
      <c r="D136" s="106">
        <f t="shared" si="294"/>
        <v>0.14356491505977589</v>
      </c>
      <c r="E136" s="106">
        <f t="shared" si="294"/>
        <v>0</v>
      </c>
      <c r="F136" s="106">
        <f t="shared" si="294"/>
        <v>1.2221219336283397E-2</v>
      </c>
      <c r="G136" s="106">
        <f t="shared" si="294"/>
        <v>0.79151812966075974</v>
      </c>
      <c r="H136" s="106">
        <f t="shared" ref="H136:J136" si="299">H123</f>
        <v>9.8141645201982361E-2</v>
      </c>
      <c r="I136" s="106">
        <f t="shared" si="299"/>
        <v>0.10960373637858173</v>
      </c>
      <c r="J136" s="106">
        <f t="shared" si="299"/>
        <v>0.10017061817616646</v>
      </c>
      <c r="K136" s="106">
        <f t="shared" ref="K136:M136" si="300">K123</f>
        <v>0.14665745001889896</v>
      </c>
      <c r="L136" s="106">
        <f t="shared" si="300"/>
        <v>0.18081717296990463</v>
      </c>
      <c r="M136" s="106">
        <f t="shared" si="300"/>
        <v>0.13847993089475336</v>
      </c>
    </row>
    <row r="137" spans="1:13" s="107" customFormat="1" ht="15" customHeight="1">
      <c r="A137" s="108" t="s">
        <v>26</v>
      </c>
      <c r="B137" s="106">
        <f t="shared" si="294"/>
        <v>0</v>
      </c>
      <c r="C137" s="106">
        <f t="shared" si="294"/>
        <v>2.9966077945819776E-3</v>
      </c>
      <c r="D137" s="106">
        <f t="shared" si="294"/>
        <v>0</v>
      </c>
      <c r="E137" s="106">
        <f t="shared" si="294"/>
        <v>0</v>
      </c>
      <c r="F137" s="106">
        <f t="shared" si="294"/>
        <v>0</v>
      </c>
      <c r="G137" s="106">
        <f t="shared" si="294"/>
        <v>0</v>
      </c>
      <c r="H137" s="106">
        <f t="shared" ref="H137:J137" si="301">H124</f>
        <v>6.9706110382051936E-4</v>
      </c>
      <c r="I137" s="106">
        <f t="shared" si="301"/>
        <v>2.395370420637618E-4</v>
      </c>
      <c r="J137" s="106">
        <f t="shared" si="301"/>
        <v>3.350990261371892E-4</v>
      </c>
      <c r="K137" s="106">
        <f t="shared" ref="K137:M137" si="302">K124</f>
        <v>5.6343344519564501E-4</v>
      </c>
      <c r="L137" s="106">
        <f t="shared" si="302"/>
        <v>6.074508456924432E-4</v>
      </c>
      <c r="M137" s="106">
        <f t="shared" si="302"/>
        <v>0</v>
      </c>
    </row>
    <row r="138" spans="1:13" s="107" customFormat="1" ht="15" customHeight="1">
      <c r="A138" s="108" t="s">
        <v>162</v>
      </c>
      <c r="B138" s="106">
        <f t="shared" si="294"/>
        <v>0</v>
      </c>
      <c r="C138" s="106">
        <f t="shared" si="294"/>
        <v>0</v>
      </c>
      <c r="D138" s="106">
        <f t="shared" si="294"/>
        <v>0.5969779150232265</v>
      </c>
      <c r="E138" s="106">
        <f t="shared" si="294"/>
        <v>0</v>
      </c>
      <c r="F138" s="106">
        <f t="shared" si="294"/>
        <v>0</v>
      </c>
      <c r="G138" s="106">
        <f t="shared" si="294"/>
        <v>0</v>
      </c>
      <c r="H138" s="106">
        <f t="shared" ref="H138:J138" si="303">H125</f>
        <v>3.7863176514695999E-2</v>
      </c>
      <c r="I138" s="106">
        <f t="shared" si="303"/>
        <v>3.6091148329925597E-2</v>
      </c>
      <c r="J138" s="106">
        <f t="shared" si="303"/>
        <v>3.200679504808715E-2</v>
      </c>
      <c r="K138" s="106">
        <f t="shared" ref="K138:M138" si="304">K125</f>
        <v>1.3472103296065151E-2</v>
      </c>
      <c r="L138" s="106">
        <f t="shared" si="304"/>
        <v>2.3627458096468514E-2</v>
      </c>
      <c r="M138" s="106">
        <f t="shared" si="304"/>
        <v>2.155136413813832E-2</v>
      </c>
    </row>
    <row r="139" spans="1:13" ht="15" customHeight="1">
      <c r="A139" s="104" t="s">
        <v>25</v>
      </c>
      <c r="B139" s="106">
        <f t="shared" si="294"/>
        <v>0</v>
      </c>
      <c r="C139" s="106">
        <f t="shared" si="294"/>
        <v>0</v>
      </c>
      <c r="D139" s="106">
        <f t="shared" si="294"/>
        <v>0</v>
      </c>
      <c r="E139" s="106">
        <f t="shared" si="294"/>
        <v>0</v>
      </c>
      <c r="F139" s="106">
        <f t="shared" si="294"/>
        <v>0</v>
      </c>
      <c r="G139" s="106">
        <f t="shared" si="294"/>
        <v>0</v>
      </c>
      <c r="H139" s="106">
        <f t="shared" ref="H139:J139" si="305">H126</f>
        <v>1.6624983909348877E-4</v>
      </c>
      <c r="I139" s="106">
        <f t="shared" si="305"/>
        <v>1.0242488702824591E-3</v>
      </c>
      <c r="J139" s="106">
        <f t="shared" si="305"/>
        <v>5.0631558621414474E-4</v>
      </c>
      <c r="K139" s="106">
        <f t="shared" ref="K139:M139" si="306">K126</f>
        <v>5.3017777586829434E-3</v>
      </c>
      <c r="L139" s="106">
        <f t="shared" si="306"/>
        <v>1.7096065396451587E-3</v>
      </c>
      <c r="M139" s="106">
        <f t="shared" si="306"/>
        <v>2.751835794369059E-3</v>
      </c>
    </row>
    <row r="140" spans="1:13" ht="15" customHeight="1">
      <c r="A140" s="104" t="s">
        <v>476</v>
      </c>
      <c r="B140" s="106">
        <f t="shared" ref="B140:G140" si="307">SUM(B129:B139)</f>
        <v>3.014401086073923</v>
      </c>
      <c r="C140" s="106">
        <f t="shared" si="307"/>
        <v>2.9995468082783887</v>
      </c>
      <c r="D140" s="106">
        <f t="shared" si="307"/>
        <v>2.9995778131811526</v>
      </c>
      <c r="E140" s="106">
        <f t="shared" si="307"/>
        <v>2.9954121148023565</v>
      </c>
      <c r="F140" s="106">
        <f t="shared" si="307"/>
        <v>3.3104044684770124</v>
      </c>
      <c r="G140" s="106">
        <f t="shared" si="307"/>
        <v>3.0624741771707842</v>
      </c>
      <c r="H140" s="106">
        <f t="shared" ref="H140:J140" si="308">SUM(H129:H139)</f>
        <v>3.0454516555684723</v>
      </c>
      <c r="I140" s="106">
        <f t="shared" si="308"/>
        <v>3.0452168721888744</v>
      </c>
      <c r="J140" s="106">
        <f t="shared" si="308"/>
        <v>3.0426298358128125</v>
      </c>
      <c r="K140" s="106">
        <f t="shared" ref="K140:M140" si="309">SUM(K129:K139)</f>
        <v>3.0525727856576288</v>
      </c>
      <c r="L140" s="106">
        <f t="shared" si="309"/>
        <v>3.0550951745336055</v>
      </c>
      <c r="M140" s="106">
        <f t="shared" si="309"/>
        <v>3.0527164657421411</v>
      </c>
    </row>
    <row r="148" spans="3:3" ht="15" customHeight="1">
      <c r="C148" s="105"/>
    </row>
    <row r="149" spans="3:3" ht="15" customHeight="1">
      <c r="C149" s="105"/>
    </row>
    <row r="150" spans="3:3" ht="15" customHeight="1">
      <c r="C150" s="105"/>
    </row>
    <row r="151" spans="3:3" ht="15" customHeight="1">
      <c r="C151" s="105"/>
    </row>
  </sheetData>
  <printOptions gridLines="1" gridLinesSet="0"/>
  <pageMargins left="0.78740157499999996" right="0.78740157499999996" top="0.984251969" bottom="0.984251969" header="0.5" footer="0.5"/>
  <pageSetup paperSize="9" orientation="portrait" horizontalDpi="4294967292" verticalDpi="4294967292"/>
  <headerFooter>
    <oddHeader>&amp;A</oddHeader>
    <oddFooter>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11.42578125" defaultRowHeight="14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11.42578125" defaultRowHeight="14"/>
  <sheetData/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1"/>
  <sheetViews>
    <sheetView topLeftCell="A13" workbookViewId="0">
      <selection activeCell="B29" sqref="B29"/>
    </sheetView>
  </sheetViews>
  <sheetFormatPr baseColWidth="10" defaultColWidth="11.42578125" defaultRowHeight="14"/>
  <cols>
    <col min="1" max="1" width="6.85546875" customWidth="1"/>
    <col min="2" max="3" width="5.85546875" style="3" customWidth="1"/>
    <col min="4" max="23" width="5.28515625" customWidth="1"/>
    <col min="24" max="27" width="6.7109375" customWidth="1"/>
    <col min="28" max="248" width="11" customWidth="1"/>
  </cols>
  <sheetData>
    <row r="1" spans="1:15">
      <c r="A1" s="1" t="s">
        <v>0</v>
      </c>
      <c r="B1" s="10" t="s">
        <v>30</v>
      </c>
      <c r="C1" s="10" t="s">
        <v>30</v>
      </c>
      <c r="D1" s="10" t="s">
        <v>30</v>
      </c>
      <c r="E1" s="10" t="s">
        <v>30</v>
      </c>
      <c r="F1" s="10" t="s">
        <v>30</v>
      </c>
      <c r="G1" s="10" t="s">
        <v>30</v>
      </c>
      <c r="H1" s="10" t="s">
        <v>30</v>
      </c>
      <c r="I1" s="10" t="s">
        <v>30</v>
      </c>
      <c r="J1" s="10" t="s">
        <v>30</v>
      </c>
      <c r="K1" s="10" t="s">
        <v>30</v>
      </c>
      <c r="L1" s="10" t="s">
        <v>30</v>
      </c>
      <c r="M1" s="10" t="s">
        <v>30</v>
      </c>
      <c r="N1" s="10" t="s">
        <v>30</v>
      </c>
    </row>
    <row r="2" spans="1:15">
      <c r="A2" s="1" t="s">
        <v>4</v>
      </c>
      <c r="B2" s="10">
        <v>89</v>
      </c>
      <c r="C2" s="10">
        <v>90</v>
      </c>
      <c r="D2" s="10">
        <v>2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>
        <v>140</v>
      </c>
      <c r="M2" s="10">
        <v>142</v>
      </c>
      <c r="N2" s="10">
        <v>144</v>
      </c>
    </row>
    <row r="3" spans="1:15">
      <c r="A3" t="s">
        <v>5</v>
      </c>
      <c r="B3" s="11">
        <v>0</v>
      </c>
      <c r="C3" s="11">
        <v>0.08</v>
      </c>
      <c r="D3" s="11">
        <v>0</v>
      </c>
      <c r="E3" s="11">
        <v>0.16</v>
      </c>
      <c r="F3" s="11">
        <v>0.08</v>
      </c>
      <c r="G3" s="11">
        <v>0.12</v>
      </c>
      <c r="H3" s="11">
        <v>0.05</v>
      </c>
      <c r="I3" s="11">
        <v>0.1</v>
      </c>
      <c r="J3" s="11">
        <v>0.11</v>
      </c>
      <c r="K3" s="11">
        <v>0.06</v>
      </c>
      <c r="L3" s="11">
        <v>0.08</v>
      </c>
      <c r="M3" s="11">
        <v>0</v>
      </c>
      <c r="N3" s="11">
        <v>0.04</v>
      </c>
    </row>
    <row r="4" spans="1:15">
      <c r="A4" t="s">
        <v>6</v>
      </c>
      <c r="B4" s="11">
        <v>0.99</v>
      </c>
      <c r="C4" s="11">
        <v>1.73</v>
      </c>
      <c r="D4" s="11">
        <v>7.12</v>
      </c>
      <c r="E4" s="11">
        <v>4.88</v>
      </c>
      <c r="F4" s="11">
        <v>4.95</v>
      </c>
      <c r="G4" s="11">
        <v>4.76</v>
      </c>
      <c r="H4" s="11">
        <v>2.33</v>
      </c>
      <c r="I4" s="11">
        <v>2.19</v>
      </c>
      <c r="J4" s="11">
        <v>2.2400000000000002</v>
      </c>
      <c r="K4" s="11">
        <v>1.96</v>
      </c>
      <c r="L4" s="11">
        <v>7.34</v>
      </c>
      <c r="M4" s="11">
        <v>1.1100000000000001</v>
      </c>
      <c r="N4" s="11">
        <v>1.0900000000000001</v>
      </c>
    </row>
    <row r="5" spans="1:15">
      <c r="A5" t="s">
        <v>7</v>
      </c>
      <c r="B5" s="11">
        <v>0.14000000000000001</v>
      </c>
      <c r="C5" s="11">
        <v>0.09</v>
      </c>
      <c r="D5" s="11">
        <v>7.0000000000000007E-2</v>
      </c>
      <c r="E5" s="11">
        <v>0.14000000000000001</v>
      </c>
      <c r="F5" s="11">
        <v>0.16</v>
      </c>
      <c r="G5" s="11">
        <v>0.18</v>
      </c>
      <c r="H5" s="11">
        <v>0.09</v>
      </c>
      <c r="I5" s="11">
        <v>0.08</v>
      </c>
      <c r="J5" s="11">
        <v>0.17</v>
      </c>
      <c r="K5" s="11">
        <v>0.11</v>
      </c>
      <c r="L5" s="11">
        <v>0.2</v>
      </c>
      <c r="M5" s="11">
        <v>0.04</v>
      </c>
      <c r="N5" s="11">
        <v>0.02</v>
      </c>
    </row>
    <row r="6" spans="1:15">
      <c r="A6" t="s">
        <v>8</v>
      </c>
      <c r="B6" s="11">
        <v>0</v>
      </c>
      <c r="C6" s="11">
        <v>0.05</v>
      </c>
      <c r="D6" s="11">
        <v>0.08</v>
      </c>
      <c r="E6" s="11">
        <v>0.02</v>
      </c>
      <c r="F6" s="11">
        <v>0.16</v>
      </c>
      <c r="G6" s="11">
        <v>0.08</v>
      </c>
      <c r="H6" s="11">
        <v>0</v>
      </c>
      <c r="I6" s="11">
        <v>0.04</v>
      </c>
      <c r="J6" s="11">
        <v>0</v>
      </c>
      <c r="K6" s="11">
        <v>0.02</v>
      </c>
      <c r="L6" s="11">
        <v>0.01</v>
      </c>
      <c r="M6" s="11">
        <v>0.04</v>
      </c>
      <c r="N6" s="11">
        <v>0.01</v>
      </c>
    </row>
    <row r="7" spans="1:15">
      <c r="A7" t="s">
        <v>9</v>
      </c>
      <c r="B7" s="11">
        <v>0.03</v>
      </c>
      <c r="C7" s="11">
        <v>0</v>
      </c>
      <c r="D7" s="11">
        <v>0.1</v>
      </c>
      <c r="E7" s="11">
        <v>0.52</v>
      </c>
      <c r="F7" s="11">
        <v>0.12</v>
      </c>
      <c r="G7" s="11">
        <v>0.16</v>
      </c>
      <c r="H7" s="11">
        <v>0.09</v>
      </c>
      <c r="I7" s="11">
        <v>7.0000000000000007E-2</v>
      </c>
      <c r="J7" s="11">
        <v>0.05</v>
      </c>
      <c r="K7" s="11">
        <v>0</v>
      </c>
      <c r="L7" s="11">
        <v>0.36</v>
      </c>
      <c r="M7" s="11">
        <v>7.0000000000000007E-2</v>
      </c>
      <c r="N7" s="11">
        <v>0.02</v>
      </c>
    </row>
    <row r="8" spans="1:15">
      <c r="A8" t="s">
        <v>10</v>
      </c>
      <c r="B8" s="11">
        <v>5.65</v>
      </c>
      <c r="C8" s="11">
        <v>5.37</v>
      </c>
      <c r="D8" s="11">
        <v>8.52</v>
      </c>
      <c r="E8" s="11">
        <v>9.11</v>
      </c>
      <c r="F8" s="11">
        <v>9.57</v>
      </c>
      <c r="G8" s="11">
        <v>8.7100000000000009</v>
      </c>
      <c r="H8" s="11">
        <v>5.72</v>
      </c>
      <c r="I8" s="11">
        <v>5.24</v>
      </c>
      <c r="J8" s="11">
        <v>5.56</v>
      </c>
      <c r="K8" s="11">
        <v>5.36</v>
      </c>
      <c r="L8" s="11">
        <v>23.44</v>
      </c>
      <c r="M8" s="11">
        <v>7.81</v>
      </c>
      <c r="N8" s="11">
        <v>6.57</v>
      </c>
    </row>
    <row r="9" spans="1:15">
      <c r="A9" t="s">
        <v>11</v>
      </c>
      <c r="B9" s="10">
        <v>0</v>
      </c>
      <c r="C9" s="10">
        <v>0.09</v>
      </c>
      <c r="D9" s="10">
        <v>0</v>
      </c>
      <c r="E9" s="10">
        <v>0</v>
      </c>
      <c r="F9" s="10">
        <v>0</v>
      </c>
      <c r="G9" s="10">
        <v>0.03</v>
      </c>
      <c r="H9" s="10">
        <v>0</v>
      </c>
      <c r="I9" s="10">
        <v>0</v>
      </c>
      <c r="J9" s="10">
        <v>0</v>
      </c>
      <c r="K9" s="10">
        <v>0</v>
      </c>
      <c r="L9" s="10">
        <v>0.36</v>
      </c>
      <c r="M9" s="10">
        <v>0</v>
      </c>
      <c r="N9" s="10">
        <v>7.0000000000000007E-2</v>
      </c>
    </row>
    <row r="10" spans="1:15">
      <c r="A10" t="s">
        <v>12</v>
      </c>
      <c r="B10" s="11">
        <v>6.84</v>
      </c>
      <c r="C10" s="11">
        <v>6.77</v>
      </c>
      <c r="D10" s="11">
        <v>2.99</v>
      </c>
      <c r="E10" s="11">
        <v>4.8</v>
      </c>
      <c r="F10" s="11">
        <v>4.45</v>
      </c>
      <c r="G10" s="11">
        <v>4.49</v>
      </c>
      <c r="H10" s="11">
        <v>6.24</v>
      </c>
      <c r="I10" s="11">
        <v>6.35</v>
      </c>
      <c r="J10" s="11">
        <v>6.67</v>
      </c>
      <c r="K10" s="11">
        <v>6.42</v>
      </c>
      <c r="L10" s="11">
        <v>4.66</v>
      </c>
      <c r="M10" s="11">
        <v>6.37</v>
      </c>
      <c r="N10" s="11">
        <v>6.97</v>
      </c>
    </row>
    <row r="11" spans="1:15">
      <c r="A11" t="s">
        <v>13</v>
      </c>
      <c r="B11" s="11">
        <v>58.78</v>
      </c>
      <c r="C11" s="11">
        <v>57.31</v>
      </c>
      <c r="D11" s="11">
        <v>55.39</v>
      </c>
      <c r="E11" s="11">
        <v>52.72</v>
      </c>
      <c r="F11" s="11">
        <v>52.36</v>
      </c>
      <c r="G11" s="11">
        <v>52.52</v>
      </c>
      <c r="H11" s="11">
        <v>56.12</v>
      </c>
      <c r="I11" s="11">
        <v>56.59</v>
      </c>
      <c r="J11" s="11">
        <v>56.94</v>
      </c>
      <c r="K11" s="11">
        <v>57.12</v>
      </c>
      <c r="L11" s="11">
        <v>41.26</v>
      </c>
      <c r="M11" s="11">
        <v>57.11</v>
      </c>
      <c r="N11" s="11">
        <v>56.73</v>
      </c>
    </row>
    <row r="12" spans="1:15">
      <c r="A12" t="s">
        <v>14</v>
      </c>
      <c r="B12" s="11">
        <v>11.41</v>
      </c>
      <c r="C12" s="11">
        <v>12.16</v>
      </c>
      <c r="D12" s="11">
        <v>6.57</v>
      </c>
      <c r="E12" s="11">
        <v>12.35</v>
      </c>
      <c r="F12" s="11">
        <v>11.99</v>
      </c>
      <c r="G12" s="11">
        <v>12.08</v>
      </c>
      <c r="H12" s="11">
        <v>12.87</v>
      </c>
      <c r="I12" s="11">
        <v>12.61</v>
      </c>
      <c r="J12" s="11">
        <v>12.77</v>
      </c>
      <c r="K12" s="11">
        <v>12.38</v>
      </c>
      <c r="L12" s="11">
        <v>13.92</v>
      </c>
      <c r="M12" s="11">
        <v>10.48</v>
      </c>
      <c r="N12" s="11">
        <v>11.2</v>
      </c>
    </row>
    <row r="13" spans="1:15">
      <c r="A13" t="s">
        <v>15</v>
      </c>
      <c r="B13" s="11">
        <v>13.98</v>
      </c>
      <c r="C13" s="11">
        <v>14.26</v>
      </c>
      <c r="D13" s="11">
        <v>17.850000000000001</v>
      </c>
      <c r="E13" s="11">
        <v>14.38</v>
      </c>
      <c r="F13" s="11">
        <v>14.8</v>
      </c>
      <c r="G13" s="11">
        <v>14.53</v>
      </c>
      <c r="H13" s="11">
        <v>14.78</v>
      </c>
      <c r="I13" s="11">
        <v>14.7</v>
      </c>
      <c r="J13" s="11">
        <v>14.78</v>
      </c>
      <c r="K13" s="11">
        <v>14.65</v>
      </c>
      <c r="L13" s="11">
        <v>5.88</v>
      </c>
      <c r="M13" s="11">
        <v>13.57</v>
      </c>
      <c r="N13" s="11">
        <v>14.1</v>
      </c>
    </row>
    <row r="14" spans="1:15">
      <c r="A14" s="1" t="s">
        <v>16</v>
      </c>
      <c r="B14" s="9">
        <f t="shared" ref="B14:N14" si="0">SUM(B3:B13)</f>
        <v>97.820000000000007</v>
      </c>
      <c r="C14" s="9">
        <f t="shared" si="0"/>
        <v>97.910000000000011</v>
      </c>
      <c r="D14" s="9">
        <f t="shared" si="0"/>
        <v>98.69</v>
      </c>
      <c r="E14" s="9">
        <f t="shared" si="0"/>
        <v>99.079999999999984</v>
      </c>
      <c r="F14" s="9">
        <f t="shared" si="0"/>
        <v>98.639999999999986</v>
      </c>
      <c r="G14" s="9">
        <f t="shared" si="0"/>
        <v>97.660000000000011</v>
      </c>
      <c r="H14" s="9">
        <f t="shared" si="0"/>
        <v>98.29</v>
      </c>
      <c r="I14" s="9">
        <f t="shared" si="0"/>
        <v>97.97</v>
      </c>
      <c r="J14" s="9">
        <f t="shared" si="0"/>
        <v>99.289999999999992</v>
      </c>
      <c r="K14" s="9">
        <f t="shared" si="0"/>
        <v>98.08</v>
      </c>
      <c r="L14" s="9">
        <f t="shared" si="0"/>
        <v>97.51</v>
      </c>
      <c r="M14" s="9">
        <f t="shared" si="0"/>
        <v>96.6</v>
      </c>
      <c r="N14" s="9">
        <f t="shared" si="0"/>
        <v>96.82</v>
      </c>
      <c r="O14" s="4"/>
    </row>
    <row r="15" spans="1:15" s="5" customFormat="1" hidden="1">
      <c r="A15" s="5" t="s">
        <v>18</v>
      </c>
      <c r="B15" s="6">
        <f t="shared" ref="B15:N15" si="1">B11/60.09*(23/((B4/56.08)+(B5/79.9*2)+(B8/71.85)+(B7/70.94)+(B6/152.02*3)+(B11/60.09*2)+(B12/101.94*3)+(B13/40.32)+(B9/74.71)+(B3/94.2)+(B10/61.982)))</f>
        <v>7.8956756566996855</v>
      </c>
      <c r="C15" s="6">
        <f t="shared" si="1"/>
        <v>7.7263486645670199</v>
      </c>
      <c r="D15" s="6">
        <f t="shared" si="1"/>
        <v>7.6313554723332899</v>
      </c>
      <c r="E15" s="6">
        <f t="shared" si="1"/>
        <v>7.2613278633285088</v>
      </c>
      <c r="F15" s="6">
        <f t="shared" si="1"/>
        <v>7.2466357478590542</v>
      </c>
      <c r="G15" s="6">
        <f t="shared" si="1"/>
        <v>7.3034341442989446</v>
      </c>
      <c r="H15" s="6">
        <f t="shared" si="1"/>
        <v>7.5660168090109838</v>
      </c>
      <c r="I15" s="6">
        <f t="shared" si="1"/>
        <v>7.6310127329615698</v>
      </c>
      <c r="J15" s="6">
        <f t="shared" si="1"/>
        <v>7.5975414318638999</v>
      </c>
      <c r="K15" s="6">
        <f t="shared" si="1"/>
        <v>7.6827920381143686</v>
      </c>
      <c r="L15" s="6">
        <f t="shared" si="1"/>
        <v>6.3756925057180229</v>
      </c>
      <c r="M15" s="6">
        <f t="shared" si="1"/>
        <v>7.8635644308147752</v>
      </c>
      <c r="N15" s="6">
        <f t="shared" si="1"/>
        <v>7.774003543774489</v>
      </c>
    </row>
    <row r="16" spans="1:15" s="5" customFormat="1" hidden="1">
      <c r="A16" s="5" t="s">
        <v>19</v>
      </c>
      <c r="B16" s="6">
        <f t="shared" ref="B16:N16" si="2">(B12/101.94*(23/((B4/56.08)+(B5/79.9*2)+(B8/71.85)+(B7/70.94)+(B6/152.02*3)+(B11/60.09*2)+(B12/101.94*3)+(B13/40.32)+(B9/74.71)+(B3/94.2)+(B10/61.982)))*2)</f>
        <v>1.8068950699099833</v>
      </c>
      <c r="C16" s="6">
        <f t="shared" si="2"/>
        <v>1.9327026379723848</v>
      </c>
      <c r="D16" s="6">
        <f t="shared" si="2"/>
        <v>1.0671445691035946</v>
      </c>
      <c r="E16" s="6">
        <f t="shared" si="2"/>
        <v>2.0053730439215616</v>
      </c>
      <c r="F16" s="6">
        <f t="shared" si="2"/>
        <v>1.956336454615943</v>
      </c>
      <c r="G16" s="6">
        <f t="shared" si="2"/>
        <v>1.9804181817857545</v>
      </c>
      <c r="H16" s="6">
        <f t="shared" si="2"/>
        <v>2.0455766459929543</v>
      </c>
      <c r="I16" s="6">
        <f t="shared" si="2"/>
        <v>2.0046803862669309</v>
      </c>
      <c r="J16" s="6">
        <f t="shared" si="2"/>
        <v>2.0087878919463846</v>
      </c>
      <c r="K16" s="6">
        <f t="shared" si="2"/>
        <v>1.9630849519325853</v>
      </c>
      <c r="L16" s="6">
        <f t="shared" si="2"/>
        <v>2.5358580847823942</v>
      </c>
      <c r="M16" s="6">
        <f t="shared" si="2"/>
        <v>1.7012030100784667</v>
      </c>
      <c r="N16" s="6">
        <f t="shared" si="2"/>
        <v>1.8094123231894517</v>
      </c>
    </row>
    <row r="17" spans="1:15" s="5" customFormat="1" hidden="1">
      <c r="A17" s="5" t="s">
        <v>20</v>
      </c>
      <c r="B17" s="6">
        <f t="shared" ref="B17:N17" si="3">B5/79.9*(23/((B4/56.08)+(B5/79.9*2)+(B8/71.85)+(B7/70.94)+(B6/152.02*3)+(B11/60.09*2)+(B12/101.94*3)+(B13/40.32)+(B9/74.71)+(B3/94.2)+(B10/61.982)))</f>
        <v>1.4143053312547409E-2</v>
      </c>
      <c r="C17" s="6">
        <f t="shared" si="3"/>
        <v>9.125188157864601E-3</v>
      </c>
      <c r="D17" s="6">
        <f t="shared" si="3"/>
        <v>7.2531019712706235E-3</v>
      </c>
      <c r="E17" s="6">
        <f t="shared" si="3"/>
        <v>1.4501873259403688E-2</v>
      </c>
      <c r="F17" s="6">
        <f t="shared" si="3"/>
        <v>1.6653756159632334E-2</v>
      </c>
      <c r="G17" s="6">
        <f t="shared" si="3"/>
        <v>1.8824798227307704E-2</v>
      </c>
      <c r="H17" s="6">
        <f t="shared" si="3"/>
        <v>9.1253088779033979E-3</v>
      </c>
      <c r="I17" s="6">
        <f t="shared" si="3"/>
        <v>8.1131199318756272E-3</v>
      </c>
      <c r="J17" s="6">
        <f t="shared" si="3"/>
        <v>1.7059251045919998E-2</v>
      </c>
      <c r="K17" s="6">
        <f t="shared" si="3"/>
        <v>1.1127023076099187E-2</v>
      </c>
      <c r="L17" s="6">
        <f t="shared" si="3"/>
        <v>2.3242538550587413E-2</v>
      </c>
      <c r="M17" s="6">
        <f t="shared" si="3"/>
        <v>4.1421202755209012E-3</v>
      </c>
      <c r="N17" s="6">
        <f t="shared" si="3"/>
        <v>2.0611868879171812E-3</v>
      </c>
    </row>
    <row r="18" spans="1:15" s="5" customFormat="1" hidden="1">
      <c r="A18" s="5" t="s">
        <v>21</v>
      </c>
      <c r="B18" s="6">
        <f t="shared" ref="B18:N18" si="4">B6/152.02*(23/((B4/56.08)+(B5/79.9*2)+(B8/71.85)+(B7/70.94)+(B6/152.02*3)+(B11/60.09*2)+(B12/101.94*3)+(B13/40.32)+(B9/74.71)+(B3/94.2)+(B10/61.982)))*2</f>
        <v>0</v>
      </c>
      <c r="C18" s="6">
        <f t="shared" si="4"/>
        <v>5.3289957009558797E-3</v>
      </c>
      <c r="D18" s="6">
        <f t="shared" si="4"/>
        <v>8.7134827748908648E-3</v>
      </c>
      <c r="E18" s="6">
        <f t="shared" si="4"/>
        <v>2.1777203627837585E-3</v>
      </c>
      <c r="F18" s="6">
        <f t="shared" si="4"/>
        <v>1.7506053376590232E-2</v>
      </c>
      <c r="G18" s="6">
        <f t="shared" si="4"/>
        <v>8.7947572884379873E-3</v>
      </c>
      <c r="H18" s="6">
        <f t="shared" si="4"/>
        <v>0</v>
      </c>
      <c r="I18" s="6">
        <f t="shared" si="4"/>
        <v>4.2641644688650344E-3</v>
      </c>
      <c r="J18" s="6">
        <f t="shared" si="4"/>
        <v>0</v>
      </c>
      <c r="K18" s="6">
        <f t="shared" si="4"/>
        <v>2.1266320072247072E-3</v>
      </c>
      <c r="L18" s="6">
        <f t="shared" si="4"/>
        <v>1.2216016512247956E-3</v>
      </c>
      <c r="M18" s="6">
        <f t="shared" si="4"/>
        <v>4.3541035391937901E-3</v>
      </c>
      <c r="N18" s="6">
        <f t="shared" si="4"/>
        <v>1.0833366158701668E-3</v>
      </c>
    </row>
    <row r="19" spans="1:15" s="5" customFormat="1" hidden="1">
      <c r="A19" s="5" t="s">
        <v>22</v>
      </c>
      <c r="B19" s="6">
        <f t="shared" ref="B19:N19" si="5">B8/71.85*(23/((B4/56.08)+(B5/79.9*2)+(B8/71.85)+(B7/70.94)+(B6/152.02*3)+(B11/60.09*2)+(B12/101.94*3)+(B13/40.32)+(B9/74.71)+(B3/94.2)+(B10/61.982)))</f>
        <v>0.63472206701956846</v>
      </c>
      <c r="C19" s="6">
        <f t="shared" si="5"/>
        <v>0.6054713688359793</v>
      </c>
      <c r="D19" s="6">
        <f t="shared" si="5"/>
        <v>0.98171481474073663</v>
      </c>
      <c r="E19" s="6">
        <f t="shared" si="5"/>
        <v>1.0493840366750264</v>
      </c>
      <c r="F19" s="6">
        <f t="shared" si="5"/>
        <v>1.1077051210133741</v>
      </c>
      <c r="G19" s="6">
        <f t="shared" si="5"/>
        <v>1.0129686078660813</v>
      </c>
      <c r="H19" s="6">
        <f t="shared" si="5"/>
        <v>0.64494265303493925</v>
      </c>
      <c r="I19" s="6">
        <f t="shared" si="5"/>
        <v>0.59094791242135714</v>
      </c>
      <c r="J19" s="6">
        <f t="shared" si="5"/>
        <v>0.62044864068473393</v>
      </c>
      <c r="K19" s="6">
        <f t="shared" si="5"/>
        <v>0.60293583990163124</v>
      </c>
      <c r="L19" s="6">
        <f t="shared" si="5"/>
        <v>3.0292225316422372</v>
      </c>
      <c r="M19" s="6">
        <f t="shared" si="5"/>
        <v>0.89936038699035403</v>
      </c>
      <c r="N19" s="6">
        <f t="shared" si="5"/>
        <v>0.75296146729569169</v>
      </c>
    </row>
    <row r="20" spans="1:15" s="5" customFormat="1" hidden="1">
      <c r="A20" s="5" t="s">
        <v>23</v>
      </c>
      <c r="B20" s="6">
        <f t="shared" ref="B20:N20" si="6">B7/70.94*(23/((B4/56.08)+(B5/79.9*2)+(B8/71.85)+(B7/70.94)+(B6/152.02*3)+(B11/60.09*2)+(B12/101.94*3)+(B13/40.32)+(B9/74.71)+(B3/94.2)+(B10/61.982)))</f>
        <v>3.4134377935253271E-3</v>
      </c>
      <c r="C20" s="6">
        <f t="shared" si="6"/>
        <v>0</v>
      </c>
      <c r="D20" s="6">
        <f t="shared" si="6"/>
        <v>1.1670281676759493E-2</v>
      </c>
      <c r="E20" s="6">
        <f t="shared" si="6"/>
        <v>6.0667347676276177E-2</v>
      </c>
      <c r="F20" s="6">
        <f t="shared" si="6"/>
        <v>1.4067893119057906E-2</v>
      </c>
      <c r="G20" s="6">
        <f t="shared" si="6"/>
        <v>1.8846616901442671E-2</v>
      </c>
      <c r="H20" s="6">
        <f t="shared" si="6"/>
        <v>1.027787114948522E-2</v>
      </c>
      <c r="I20" s="6">
        <f t="shared" si="6"/>
        <v>7.9956089263779929E-3</v>
      </c>
      <c r="J20" s="6">
        <f t="shared" si="6"/>
        <v>5.6511474426151672E-3</v>
      </c>
      <c r="K20" s="6">
        <f t="shared" si="6"/>
        <v>0</v>
      </c>
      <c r="L20" s="6">
        <f t="shared" si="6"/>
        <v>4.7120692054489453E-2</v>
      </c>
      <c r="M20" s="6">
        <f t="shared" si="6"/>
        <v>8.1642510223387376E-3</v>
      </c>
      <c r="N20" s="6">
        <f t="shared" si="6"/>
        <v>2.3215228692498278E-3</v>
      </c>
    </row>
    <row r="21" spans="1:15" s="5" customFormat="1" hidden="1">
      <c r="A21" s="5" t="s">
        <v>24</v>
      </c>
      <c r="B21" s="6">
        <f t="shared" ref="B21:N21" si="7">B13/40.32*(23/((B4/56.08)+(B5/79.9*2)+(B8/71.85)+(B7/70.94)+(B6/152.02*3)+(B11/60.09*2)+(B12/101.94*3)+(B13/40.32)+(B9/74.71)+(B3/94.2)+(B10/61.982)))</f>
        <v>2.7986498788658731</v>
      </c>
      <c r="C21" s="6">
        <f t="shared" si="7"/>
        <v>2.8651350672891374</v>
      </c>
      <c r="D21" s="6">
        <f t="shared" si="7"/>
        <v>3.6651370563902117</v>
      </c>
      <c r="E21" s="6">
        <f t="shared" si="7"/>
        <v>2.9517611436846267</v>
      </c>
      <c r="F21" s="6">
        <f t="shared" si="7"/>
        <v>3.0526723297818128</v>
      </c>
      <c r="G21" s="6">
        <f t="shared" si="7"/>
        <v>3.0112699828590994</v>
      </c>
      <c r="H21" s="6">
        <f t="shared" si="7"/>
        <v>2.9696533318759473</v>
      </c>
      <c r="I21" s="6">
        <f t="shared" si="7"/>
        <v>2.9542109231107019</v>
      </c>
      <c r="J21" s="6">
        <f t="shared" si="7"/>
        <v>2.9390821754858094</v>
      </c>
      <c r="K21" s="6">
        <f t="shared" si="7"/>
        <v>2.9366364439893946</v>
      </c>
      <c r="L21" s="6">
        <f t="shared" si="7"/>
        <v>1.3541199803482855</v>
      </c>
      <c r="M21" s="6">
        <f t="shared" si="7"/>
        <v>2.7846384634744599</v>
      </c>
      <c r="N21" s="6">
        <f t="shared" si="7"/>
        <v>2.879603839358404</v>
      </c>
    </row>
    <row r="22" spans="1:15" s="5" customFormat="1" hidden="1">
      <c r="A22" s="5" t="s">
        <v>25</v>
      </c>
      <c r="B22" s="6">
        <f t="shared" ref="B22:N22" si="8">B9/74.71*(23/((B4/56.08)+(B5/79.9*2)+(B8/71.85)+(B7/70.94)+(B6/152.02*3)+(B11/60.09*2)+(B12/101.94*3)+(B13/40.32)+(B9/74.71)+(B3/94.2)+(B10/61.982)))</f>
        <v>0</v>
      </c>
      <c r="C22" s="6">
        <f t="shared" si="8"/>
        <v>9.7591023131224953E-3</v>
      </c>
      <c r="D22" s="6">
        <f t="shared" si="8"/>
        <v>0</v>
      </c>
      <c r="E22" s="6">
        <f t="shared" si="8"/>
        <v>0</v>
      </c>
      <c r="F22" s="6">
        <f t="shared" si="8"/>
        <v>0</v>
      </c>
      <c r="G22" s="6">
        <f t="shared" si="8"/>
        <v>3.3554218051173109E-3</v>
      </c>
      <c r="H22" s="6">
        <f t="shared" si="8"/>
        <v>0</v>
      </c>
      <c r="I22" s="6">
        <f t="shared" si="8"/>
        <v>0</v>
      </c>
      <c r="J22" s="6">
        <f t="shared" si="8"/>
        <v>0</v>
      </c>
      <c r="K22" s="6">
        <f t="shared" si="8"/>
        <v>0</v>
      </c>
      <c r="L22" s="6">
        <f t="shared" si="8"/>
        <v>4.4742897796084619E-2</v>
      </c>
      <c r="M22" s="6">
        <f t="shared" si="8"/>
        <v>0</v>
      </c>
      <c r="N22" s="6">
        <f t="shared" si="8"/>
        <v>7.715311380083521E-3</v>
      </c>
    </row>
    <row r="23" spans="1:15" s="5" customFormat="1" hidden="1">
      <c r="A23" s="5" t="s">
        <v>26</v>
      </c>
      <c r="B23" s="6">
        <f t="shared" ref="B23:N23" si="9">B4/56.08*(23/((B4/56.08)+(B5/79.9*2)+(B8/71.85)+(B7/70.94)+(B6/152.02*3)+(B11/60.09*2)+(B12/101.94*3)+(B13/40.32)+(B9/74.71)+(B3/94.2)+(B10/61.982)))</f>
        <v>0.14249155034591052</v>
      </c>
      <c r="C23" s="6">
        <f t="shared" si="9"/>
        <v>0.24991032324796925</v>
      </c>
      <c r="D23" s="6">
        <f t="shared" si="9"/>
        <v>1.0511011499470662</v>
      </c>
      <c r="E23" s="6">
        <f t="shared" si="9"/>
        <v>0.72020256856539266</v>
      </c>
      <c r="F23" s="6">
        <f t="shared" si="9"/>
        <v>0.73406783054513514</v>
      </c>
      <c r="G23" s="6">
        <f t="shared" si="9"/>
        <v>0.70925687123579173</v>
      </c>
      <c r="H23" s="6">
        <f t="shared" si="9"/>
        <v>0.33658887657961684</v>
      </c>
      <c r="I23" s="6">
        <f t="shared" si="9"/>
        <v>0.31643229288505914</v>
      </c>
      <c r="J23" s="6">
        <f t="shared" si="9"/>
        <v>0.32025641050543108</v>
      </c>
      <c r="K23" s="6">
        <f t="shared" si="9"/>
        <v>0.28247573625493405</v>
      </c>
      <c r="L23" s="6">
        <f t="shared" si="9"/>
        <v>1.2153137137668328</v>
      </c>
      <c r="M23" s="6">
        <f t="shared" si="9"/>
        <v>0.16376627367852767</v>
      </c>
      <c r="N23" s="6">
        <f t="shared" si="9"/>
        <v>0.16004888307381887</v>
      </c>
    </row>
    <row r="24" spans="1:15" s="5" customFormat="1" hidden="1">
      <c r="A24" s="5" t="s">
        <v>27</v>
      </c>
      <c r="B24" s="6">
        <f t="shared" ref="B24:N24" si="10">B10/61.982*(23/((B4/56.08)+(B5/79.9*2)+(B8/71.85)+(B7/70.94)+(B6/152.02*3)+(B11/60.09*2)+(B12/101.94*3)+(B13/40.32)+(B9/74.71)+(B3/94.2)+(B10/61.982)))*2</f>
        <v>1.7814860821713583</v>
      </c>
      <c r="C24" s="6">
        <f t="shared" si="10"/>
        <v>1.769698067867945</v>
      </c>
      <c r="D24" s="6">
        <f t="shared" si="10"/>
        <v>0.79874494163675325</v>
      </c>
      <c r="E24" s="6">
        <f t="shared" si="10"/>
        <v>1.281883319223208</v>
      </c>
      <c r="F24" s="6">
        <f t="shared" si="10"/>
        <v>1.194162472842534</v>
      </c>
      <c r="G24" s="6">
        <f t="shared" si="10"/>
        <v>1.2106409367674609</v>
      </c>
      <c r="H24" s="6">
        <f t="shared" si="10"/>
        <v>1.6311760758892602</v>
      </c>
      <c r="I24" s="6">
        <f t="shared" si="10"/>
        <v>1.6602856854554862</v>
      </c>
      <c r="J24" s="6">
        <f t="shared" si="10"/>
        <v>1.725631509272195</v>
      </c>
      <c r="K24" s="6">
        <f t="shared" si="10"/>
        <v>1.674297084217907</v>
      </c>
      <c r="L24" s="6">
        <f t="shared" si="10"/>
        <v>1.3962097623010574</v>
      </c>
      <c r="M24" s="6">
        <f t="shared" si="10"/>
        <v>1.7006437044544742</v>
      </c>
      <c r="N24" s="6">
        <f t="shared" si="10"/>
        <v>1.8519588936170854</v>
      </c>
    </row>
    <row r="25" spans="1:15" s="5" customFormat="1" hidden="1">
      <c r="A25" s="5" t="s">
        <v>28</v>
      </c>
      <c r="B25" s="6">
        <f t="shared" ref="B25:N25" si="11">B3/94.2*(23/((B4/56.08)+(B5/79.9*2)+(B8/71.85)+(B7/70.94)+(B6/152.02*3)+(B11/60.09*2)+(B12/101.94*3)+(B13/40.32)+(B9/74.71)+(B3/94.2)+(B10/61.982)))*2</f>
        <v>0</v>
      </c>
      <c r="C25" s="6">
        <f t="shared" si="11"/>
        <v>1.3759896840073256E-2</v>
      </c>
      <c r="D25" s="6">
        <f t="shared" si="11"/>
        <v>0</v>
      </c>
      <c r="E25" s="6">
        <f t="shared" si="11"/>
        <v>2.8115248369459622E-2</v>
      </c>
      <c r="F25" s="6">
        <f t="shared" si="11"/>
        <v>1.4125638186354816E-2</v>
      </c>
      <c r="G25" s="6">
        <f t="shared" si="11"/>
        <v>2.1289474569878071E-2</v>
      </c>
      <c r="H25" s="6">
        <f t="shared" si="11"/>
        <v>8.6000492963491573E-3</v>
      </c>
      <c r="I25" s="6">
        <f t="shared" si="11"/>
        <v>1.7203776076349857E-2</v>
      </c>
      <c r="J25" s="6">
        <f t="shared" si="11"/>
        <v>1.8725335012188191E-2</v>
      </c>
      <c r="K25" s="6">
        <f t="shared" si="11"/>
        <v>1.0295878908863057E-2</v>
      </c>
      <c r="L25" s="6">
        <f t="shared" si="11"/>
        <v>1.577137010778713E-2</v>
      </c>
      <c r="M25" s="6">
        <f t="shared" si="11"/>
        <v>0</v>
      </c>
      <c r="N25" s="6">
        <f t="shared" si="11"/>
        <v>6.9931563628272946E-3</v>
      </c>
    </row>
    <row r="26" spans="1:15">
      <c r="A26" s="12" t="s">
        <v>38</v>
      </c>
      <c r="B26" s="6">
        <f t="shared" ref="B26:N26" si="12">16/(B15+B16+B17+B18+B19+B20+B21+B22+B23+B24+B25)</f>
        <v>1.0611855164067665</v>
      </c>
      <c r="C26" s="6">
        <f t="shared" si="12"/>
        <v>1.0535160255572551</v>
      </c>
      <c r="D26" s="6">
        <f t="shared" si="12"/>
        <v>1.051052588826781</v>
      </c>
      <c r="E26" s="6">
        <f t="shared" si="12"/>
        <v>1.04062372829133</v>
      </c>
      <c r="F26" s="6">
        <f t="shared" si="12"/>
        <v>1.0420782538247531</v>
      </c>
      <c r="G26" s="6">
        <f t="shared" si="12"/>
        <v>1.0458131665163493</v>
      </c>
      <c r="H26" s="6">
        <f t="shared" si="12"/>
        <v>1.0511131615018443</v>
      </c>
      <c r="I26" s="6">
        <f t="shared" si="12"/>
        <v>1.0529677941615097</v>
      </c>
      <c r="J26" s="6">
        <f t="shared" si="12"/>
        <v>1.0489613327199836</v>
      </c>
      <c r="K26" s="6">
        <f t="shared" si="12"/>
        <v>1.0550073146317607</v>
      </c>
      <c r="L26" s="6">
        <f t="shared" si="12"/>
        <v>0.99759855092013872</v>
      </c>
      <c r="M26" s="6">
        <f t="shared" si="12"/>
        <v>1.0575130631200034</v>
      </c>
      <c r="N26" s="6">
        <f t="shared" si="12"/>
        <v>1.049306694365469</v>
      </c>
    </row>
    <row r="27" spans="1:15">
      <c r="A27" s="12" t="s">
        <v>39</v>
      </c>
      <c r="B27" s="6">
        <f t="shared" ref="B27:N27" si="13">8/B15</f>
        <v>1.0132128455924849</v>
      </c>
      <c r="C27" s="6">
        <f t="shared" si="13"/>
        <v>1.035417937671897</v>
      </c>
      <c r="D27" s="6">
        <f t="shared" si="13"/>
        <v>1.0483065595624779</v>
      </c>
      <c r="E27" s="6">
        <f t="shared" si="13"/>
        <v>1.1017268673959713</v>
      </c>
      <c r="F27" s="6">
        <f t="shared" si="13"/>
        <v>1.1039605519517826</v>
      </c>
      <c r="G27" s="6">
        <f t="shared" si="13"/>
        <v>1.0953751128494524</v>
      </c>
      <c r="H27" s="6">
        <f t="shared" si="13"/>
        <v>1.0573595330203536</v>
      </c>
      <c r="I27" s="6">
        <f t="shared" si="13"/>
        <v>1.0483536432123377</v>
      </c>
      <c r="J27" s="6">
        <f t="shared" si="13"/>
        <v>1.05297221104293</v>
      </c>
      <c r="K27" s="6">
        <f t="shared" si="13"/>
        <v>1.0412881098840059</v>
      </c>
      <c r="L27" s="6">
        <f t="shared" si="13"/>
        <v>1.2547656576638884</v>
      </c>
      <c r="M27" s="6">
        <f t="shared" si="13"/>
        <v>1.0173503467016278</v>
      </c>
      <c r="N27" s="6">
        <f t="shared" si="13"/>
        <v>1.0290707940835055</v>
      </c>
    </row>
    <row r="28" spans="1:15">
      <c r="A28" s="12" t="s">
        <v>40</v>
      </c>
      <c r="B28" s="6">
        <f t="shared" ref="B28:N28" si="14">15/(B15+B16+B17+B18+B19+B20+B21+B22+B23)</f>
        <v>1.1281596326827643</v>
      </c>
      <c r="C28" s="6">
        <f t="shared" si="14"/>
        <v>1.1190871896864898</v>
      </c>
      <c r="D28" s="6">
        <f t="shared" si="14"/>
        <v>1.0399269606539807</v>
      </c>
      <c r="E28" s="6">
        <f t="shared" si="14"/>
        <v>1.0664470754519193</v>
      </c>
      <c r="F28" s="6">
        <f t="shared" si="14"/>
        <v>1.0603970198790604</v>
      </c>
      <c r="G28" s="6">
        <f t="shared" si="14"/>
        <v>1.066312602939713</v>
      </c>
      <c r="H28" s="6">
        <f t="shared" si="14"/>
        <v>1.1043881282135164</v>
      </c>
      <c r="I28" s="6">
        <f t="shared" si="14"/>
        <v>1.109659746771813</v>
      </c>
      <c r="J28" s="6">
        <f t="shared" si="14"/>
        <v>1.1103850879619399</v>
      </c>
      <c r="K28" s="6">
        <f t="shared" si="14"/>
        <v>1.1126623548603969</v>
      </c>
      <c r="L28" s="6">
        <f t="shared" si="14"/>
        <v>1.0255334202717252</v>
      </c>
      <c r="M28" s="6">
        <f t="shared" si="14"/>
        <v>1.1169695718471215</v>
      </c>
      <c r="N28" s="6">
        <f t="shared" si="14"/>
        <v>1.1203049631300332</v>
      </c>
      <c r="O28" s="7"/>
    </row>
    <row r="29" spans="1:15">
      <c r="A29" s="12" t="s">
        <v>41</v>
      </c>
      <c r="B29" s="9">
        <f t="shared" ref="B29:N29" si="15">2/B23</f>
        <v>14.035919990657886</v>
      </c>
      <c r="C29" s="6">
        <f t="shared" si="15"/>
        <v>8.0028706858000991</v>
      </c>
      <c r="D29" s="6">
        <f t="shared" si="15"/>
        <v>1.9027664465030039</v>
      </c>
      <c r="E29" s="6">
        <f t="shared" si="15"/>
        <v>2.7769964830643405</v>
      </c>
      <c r="F29" s="6">
        <f t="shared" si="15"/>
        <v>2.7245438592708191</v>
      </c>
      <c r="G29" s="6">
        <f t="shared" si="15"/>
        <v>2.8198528362724908</v>
      </c>
      <c r="H29" s="6">
        <f t="shared" si="15"/>
        <v>5.9419670083093772</v>
      </c>
      <c r="I29" s="6">
        <f t="shared" si="15"/>
        <v>6.3204674269022219</v>
      </c>
      <c r="J29" s="6">
        <f t="shared" si="15"/>
        <v>6.2449959919415354</v>
      </c>
      <c r="K29" s="6">
        <f t="shared" si="15"/>
        <v>7.0802541362172153</v>
      </c>
      <c r="L29" s="6">
        <f t="shared" si="15"/>
        <v>1.6456656230769031</v>
      </c>
      <c r="M29" s="6">
        <f t="shared" si="15"/>
        <v>12.21252676192651</v>
      </c>
      <c r="N29" s="6">
        <f t="shared" si="15"/>
        <v>12.496182176276394</v>
      </c>
      <c r="O29" s="7"/>
    </row>
    <row r="30" spans="1:15">
      <c r="A30" s="12" t="s">
        <v>42</v>
      </c>
      <c r="B30" s="6">
        <f>1</f>
        <v>1</v>
      </c>
      <c r="C30" s="6">
        <f>1</f>
        <v>1</v>
      </c>
      <c r="D30" s="6">
        <f>1</f>
        <v>1</v>
      </c>
      <c r="E30" s="6">
        <f>1</f>
        <v>1</v>
      </c>
      <c r="F30" s="6">
        <f>1</f>
        <v>1</v>
      </c>
      <c r="G30" s="6">
        <f>1</f>
        <v>1</v>
      </c>
      <c r="H30" s="6">
        <f>1</f>
        <v>1</v>
      </c>
      <c r="I30" s="6">
        <f>1</f>
        <v>1</v>
      </c>
      <c r="J30" s="6">
        <f>1</f>
        <v>1</v>
      </c>
      <c r="K30" s="6">
        <f>1</f>
        <v>1</v>
      </c>
      <c r="L30" s="6">
        <f>1</f>
        <v>1</v>
      </c>
      <c r="M30" s="6">
        <f>1</f>
        <v>1</v>
      </c>
      <c r="N30" s="6">
        <f>1</f>
        <v>1</v>
      </c>
      <c r="O30" s="7"/>
    </row>
    <row r="31" spans="1:15">
      <c r="A31" s="12" t="s">
        <v>43</v>
      </c>
      <c r="B31" s="6">
        <f t="shared" ref="B31:N31" si="16">8/(B15+B16)</f>
        <v>0.82452374998511446</v>
      </c>
      <c r="C31" s="6">
        <f t="shared" si="16"/>
        <v>0.82823869026316965</v>
      </c>
      <c r="D31" s="6">
        <f t="shared" si="16"/>
        <v>0.91969879426229195</v>
      </c>
      <c r="E31" s="6">
        <f t="shared" si="16"/>
        <v>0.86330616257841764</v>
      </c>
      <c r="F31" s="6">
        <f t="shared" si="16"/>
        <v>0.86928438160972854</v>
      </c>
      <c r="G31" s="6">
        <f t="shared" si="16"/>
        <v>0.86171125078352684</v>
      </c>
      <c r="H31" s="6">
        <f t="shared" si="16"/>
        <v>0.83232817091687139</v>
      </c>
      <c r="I31" s="6">
        <f t="shared" si="16"/>
        <v>0.8302464494262074</v>
      </c>
      <c r="J31" s="6">
        <f t="shared" si="16"/>
        <v>0.83278427486044748</v>
      </c>
      <c r="K31" s="6">
        <f t="shared" si="16"/>
        <v>0.82936989640804637</v>
      </c>
      <c r="L31" s="6">
        <f t="shared" si="16"/>
        <v>0.89771133752277454</v>
      </c>
      <c r="M31" s="6">
        <f t="shared" si="16"/>
        <v>0.83640298098590149</v>
      </c>
      <c r="N31" s="6">
        <f t="shared" si="16"/>
        <v>0.83477541943866695</v>
      </c>
      <c r="O31" s="7"/>
    </row>
    <row r="32" spans="1:15">
      <c r="A32" s="12" t="s">
        <v>44</v>
      </c>
      <c r="B32" s="6">
        <f t="shared" ref="B32:N32" si="17">15/(B15+B16+B17+B18+B19+B20+B21+B22+B23+B24)</f>
        <v>0.99486142163134361</v>
      </c>
      <c r="C32" s="6">
        <f t="shared" si="17"/>
        <v>0.98856693239587523</v>
      </c>
      <c r="D32" s="6">
        <f t="shared" si="17"/>
        <v>0.98536180202510715</v>
      </c>
      <c r="E32" s="6">
        <f t="shared" si="17"/>
        <v>0.97737195508195451</v>
      </c>
      <c r="F32" s="6">
        <f t="shared" si="17"/>
        <v>0.97784798435156195</v>
      </c>
      <c r="G32" s="6">
        <f t="shared" si="17"/>
        <v>0.98181609057619346</v>
      </c>
      <c r="H32" s="6">
        <f t="shared" si="17"/>
        <v>0.98597564203723154</v>
      </c>
      <c r="I32" s="6">
        <f t="shared" si="17"/>
        <v>0.98827622237986124</v>
      </c>
      <c r="J32" s="6">
        <f t="shared" si="17"/>
        <v>0.9846099906413105</v>
      </c>
      <c r="K32" s="6">
        <f t="shared" si="17"/>
        <v>0.98974128215675883</v>
      </c>
      <c r="L32" s="6">
        <f t="shared" si="17"/>
        <v>0.93616921740044545</v>
      </c>
      <c r="M32" s="6">
        <f t="shared" si="17"/>
        <v>0.99141849667500315</v>
      </c>
      <c r="N32" s="6">
        <f t="shared" si="17"/>
        <v>0.9841763917607762</v>
      </c>
      <c r="O32" s="7"/>
    </row>
    <row r="33" spans="1:15">
      <c r="A33" s="12" t="s">
        <v>45</v>
      </c>
      <c r="B33" s="6">
        <f t="shared" ref="B33:N33" si="18">12.9/(B15+B16+B17+B18+B19+B20+B21+B22)</f>
        <v>0.9807276253681092</v>
      </c>
      <c r="C33" s="6">
        <f t="shared" si="18"/>
        <v>0.98069990010110941</v>
      </c>
      <c r="D33" s="6">
        <f t="shared" si="18"/>
        <v>0.96463103448244647</v>
      </c>
      <c r="E33" s="6">
        <f t="shared" si="18"/>
        <v>0.96664019561621817</v>
      </c>
      <c r="F33" s="6">
        <f t="shared" si="18"/>
        <v>0.96185554149606112</v>
      </c>
      <c r="G33" s="6">
        <f t="shared" si="18"/>
        <v>0.96571975518974251</v>
      </c>
      <c r="H33" s="6">
        <f t="shared" si="18"/>
        <v>0.97390885935734606</v>
      </c>
      <c r="I33" s="6">
        <f t="shared" si="18"/>
        <v>0.97718205306295391</v>
      </c>
      <c r="J33" s="6">
        <f t="shared" si="18"/>
        <v>0.97811965006915358</v>
      </c>
      <c r="K33" s="6">
        <f t="shared" si="18"/>
        <v>0.9773687664138182</v>
      </c>
      <c r="L33" s="6">
        <f t="shared" si="18"/>
        <v>0.96188111142702182</v>
      </c>
      <c r="M33" s="6">
        <f t="shared" si="18"/>
        <v>0.97245269431313419</v>
      </c>
      <c r="N33" s="6">
        <f t="shared" si="18"/>
        <v>0.97511841504777086</v>
      </c>
      <c r="O33" s="8"/>
    </row>
    <row r="34" spans="1:15">
      <c r="A34" s="12" t="s">
        <v>46</v>
      </c>
      <c r="B34" s="6">
        <f t="shared" ref="B34:N34" si="19">36/(46+B15+B16+B17)</f>
        <v>0.64612568756653366</v>
      </c>
      <c r="C34" s="6">
        <f t="shared" si="19"/>
        <v>0.64668904694616636</v>
      </c>
      <c r="D34" s="6">
        <f t="shared" si="19"/>
        <v>0.65806607041178933</v>
      </c>
      <c r="E34" s="6">
        <f t="shared" si="19"/>
        <v>0.65121593216659424</v>
      </c>
      <c r="F34" s="6">
        <f t="shared" si="19"/>
        <v>0.65194211976314054</v>
      </c>
      <c r="G34" s="6">
        <f t="shared" si="19"/>
        <v>0.65096306131939108</v>
      </c>
      <c r="H34" s="6">
        <f t="shared" si="19"/>
        <v>0.64724082680098605</v>
      </c>
      <c r="I34" s="6">
        <f t="shared" si="19"/>
        <v>0.64697227657773559</v>
      </c>
      <c r="J34" s="6">
        <f t="shared" si="19"/>
        <v>0.64720976054079005</v>
      </c>
      <c r="K34" s="6">
        <f t="shared" si="19"/>
        <v>0.64681886203417915</v>
      </c>
      <c r="L34" s="6">
        <f t="shared" si="19"/>
        <v>0.65532239132001435</v>
      </c>
      <c r="M34" s="6">
        <f t="shared" si="19"/>
        <v>0.64784427631015806</v>
      </c>
      <c r="N34" s="6">
        <f t="shared" si="19"/>
        <v>0.64765118351188722</v>
      </c>
      <c r="O34" s="8"/>
    </row>
    <row r="35" spans="1:15">
      <c r="A35" s="12" t="s">
        <v>47</v>
      </c>
      <c r="B35" s="6">
        <f t="shared" ref="B35:N35" si="20">1-(B19/46)</f>
        <v>0.98620169419522674</v>
      </c>
      <c r="C35" s="6">
        <f t="shared" si="20"/>
        <v>0.98683757893834823</v>
      </c>
      <c r="D35" s="6">
        <f t="shared" si="20"/>
        <v>0.97865837359259267</v>
      </c>
      <c r="E35" s="6">
        <f t="shared" si="20"/>
        <v>0.97718730355054295</v>
      </c>
      <c r="F35" s="6">
        <f t="shared" si="20"/>
        <v>0.97591945389101364</v>
      </c>
      <c r="G35" s="6">
        <f t="shared" si="20"/>
        <v>0.9779789433072591</v>
      </c>
      <c r="H35" s="6">
        <f t="shared" si="20"/>
        <v>0.98597950754271868</v>
      </c>
      <c r="I35" s="6">
        <f t="shared" si="20"/>
        <v>0.98715330625170961</v>
      </c>
      <c r="J35" s="6">
        <f t="shared" si="20"/>
        <v>0.98651198607207102</v>
      </c>
      <c r="K35" s="6">
        <f t="shared" si="20"/>
        <v>0.98689269913257327</v>
      </c>
      <c r="L35" s="6">
        <f t="shared" si="20"/>
        <v>0.93414733626864699</v>
      </c>
      <c r="M35" s="6">
        <f t="shared" si="20"/>
        <v>0.98044868723934009</v>
      </c>
      <c r="N35" s="6">
        <f t="shared" si="20"/>
        <v>0.98363127245009363</v>
      </c>
      <c r="O35" s="8"/>
    </row>
    <row r="36" spans="1:15">
      <c r="A36" s="12" t="s">
        <v>48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8"/>
    </row>
    <row r="37" spans="1:15">
      <c r="A37" s="1" t="s">
        <v>49</v>
      </c>
      <c r="B37" s="6">
        <f t="shared" ref="B37:I37" si="21">(B30+B32)/2</f>
        <v>0.99743071081567181</v>
      </c>
      <c r="C37" s="6">
        <f t="shared" si="21"/>
        <v>0.99428346619793762</v>
      </c>
      <c r="D37" s="6">
        <f t="shared" si="21"/>
        <v>0.99268090101255357</v>
      </c>
      <c r="E37" s="6">
        <f t="shared" si="21"/>
        <v>0.98868597754097731</v>
      </c>
      <c r="F37" s="6">
        <f t="shared" si="21"/>
        <v>0.98892399217578097</v>
      </c>
      <c r="G37" s="6">
        <f t="shared" si="21"/>
        <v>0.99090804528809673</v>
      </c>
      <c r="H37" s="6">
        <f t="shared" si="21"/>
        <v>0.99298782101861582</v>
      </c>
      <c r="I37" s="6">
        <f t="shared" si="21"/>
        <v>0.99413811118993056</v>
      </c>
      <c r="J37" s="6">
        <f>(J30+J35)/2</f>
        <v>0.99325599303603551</v>
      </c>
      <c r="K37" s="6">
        <f>(K30+K32)/2</f>
        <v>0.99487064107837941</v>
      </c>
      <c r="L37" s="6">
        <f>(L30+L33)/2</f>
        <v>0.98094055571351091</v>
      </c>
      <c r="M37" s="6">
        <f>(M30+M32)/2</f>
        <v>0.99570924833750163</v>
      </c>
      <c r="N37" s="6">
        <f>(N30+N32)/2</f>
        <v>0.9920881958803881</v>
      </c>
      <c r="O37" s="8"/>
    </row>
    <row r="38" spans="1:15">
      <c r="A38" s="13" t="s">
        <v>50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"/>
    </row>
    <row r="39" spans="1:15">
      <c r="A39" s="14" t="s">
        <v>18</v>
      </c>
      <c r="B39" s="6">
        <f t="shared" ref="B39:N39" si="22">B15*B37</f>
        <v>7.8753893826319636</v>
      </c>
      <c r="C39" s="6">
        <f t="shared" si="22"/>
        <v>7.6821807312595025</v>
      </c>
      <c r="D39" s="6">
        <f t="shared" si="22"/>
        <v>7.5755008262228918</v>
      </c>
      <c r="E39" s="6">
        <f t="shared" si="22"/>
        <v>7.1791730368004831</v>
      </c>
      <c r="F39" s="6">
        <f t="shared" si="22"/>
        <v>7.166371953616502</v>
      </c>
      <c r="G39" s="6">
        <f t="shared" si="22"/>
        <v>7.2370316518176105</v>
      </c>
      <c r="H39" s="6">
        <f t="shared" si="22"/>
        <v>7.5129625449700379</v>
      </c>
      <c r="I39" s="6">
        <f t="shared" si="22"/>
        <v>7.5862805848127248</v>
      </c>
      <c r="J39" s="6">
        <f t="shared" si="22"/>
        <v>7.5463035595384014</v>
      </c>
      <c r="K39" s="6">
        <f t="shared" si="22"/>
        <v>7.6433842402307111</v>
      </c>
      <c r="L39" s="6">
        <f t="shared" si="22"/>
        <v>6.2541753496175039</v>
      </c>
      <c r="M39" s="6">
        <f t="shared" si="22"/>
        <v>7.8298238286600936</v>
      </c>
      <c r="N39" s="6">
        <f t="shared" si="22"/>
        <v>7.7124971505109761</v>
      </c>
      <c r="O39" s="8"/>
    </row>
    <row r="40" spans="1:15">
      <c r="A40" s="14" t="s">
        <v>19</v>
      </c>
      <c r="B40" s="6">
        <f t="shared" ref="B40:N40" si="23">B16*B37</f>
        <v>1.8022526339496476</v>
      </c>
      <c r="C40" s="6">
        <f t="shared" si="23"/>
        <v>1.9216542780130805</v>
      </c>
      <c r="D40" s="6">
        <f t="shared" si="23"/>
        <v>1.0593340323684095</v>
      </c>
      <c r="E40" s="6">
        <f t="shared" si="23"/>
        <v>1.9826842082639142</v>
      </c>
      <c r="F40" s="6">
        <f t="shared" si="23"/>
        <v>1.9346680567378118</v>
      </c>
      <c r="G40" s="6">
        <f t="shared" si="23"/>
        <v>1.9624123093663286</v>
      </c>
      <c r="H40" s="6">
        <f t="shared" si="23"/>
        <v>2.031232696431112</v>
      </c>
      <c r="I40" s="6">
        <f t="shared" si="23"/>
        <v>1.992929172742907</v>
      </c>
      <c r="J40" s="6">
        <f t="shared" si="23"/>
        <v>1.9952406124139708</v>
      </c>
      <c r="K40" s="6">
        <f t="shared" si="23"/>
        <v>1.9530155846204906</v>
      </c>
      <c r="L40" s="6">
        <f t="shared" si="23"/>
        <v>2.487526038897041</v>
      </c>
      <c r="M40" s="6">
        <f t="shared" si="23"/>
        <v>1.6939035704347254</v>
      </c>
      <c r="N40" s="6">
        <f t="shared" si="23"/>
        <v>1.7950966073167649</v>
      </c>
    </row>
    <row r="41" spans="1:15">
      <c r="A41" s="14" t="s">
        <v>20</v>
      </c>
      <c r="B41" s="6">
        <f t="shared" ref="B41:N41" si="24">B17*B37</f>
        <v>1.4106715718638104E-2</v>
      </c>
      <c r="C41" s="6">
        <f t="shared" si="24"/>
        <v>9.0730237113099878E-3</v>
      </c>
      <c r="D41" s="6">
        <f t="shared" si="24"/>
        <v>7.200015799976851E-3</v>
      </c>
      <c r="E41" s="6">
        <f t="shared" si="24"/>
        <v>1.4337798739648895E-2</v>
      </c>
      <c r="F41" s="6">
        <f t="shared" si="24"/>
        <v>1.646929902610561E-2</v>
      </c>
      <c r="G41" s="6">
        <f t="shared" si="24"/>
        <v>1.8653644014364305E-2</v>
      </c>
      <c r="H41" s="6">
        <f t="shared" si="24"/>
        <v>9.0613205787911256E-3</v>
      </c>
      <c r="I41" s="6">
        <f t="shared" si="24"/>
        <v>8.0655617249322138E-3</v>
      </c>
      <c r="J41" s="6">
        <f t="shared" si="24"/>
        <v>1.6944203338066295E-2</v>
      </c>
      <c r="K41" s="6">
        <f t="shared" si="24"/>
        <v>1.106994858101272E-2</v>
      </c>
      <c r="L41" s="6">
        <f t="shared" si="24"/>
        <v>2.2799548682005916E-2</v>
      </c>
      <c r="M41" s="6">
        <f t="shared" si="24"/>
        <v>4.1243474660624417E-3</v>
      </c>
      <c r="N41" s="6">
        <f t="shared" si="24"/>
        <v>2.0448791810060681E-3</v>
      </c>
    </row>
    <row r="42" spans="1:15">
      <c r="A42" s="14" t="s">
        <v>21</v>
      </c>
      <c r="B42" s="6">
        <f t="shared" ref="B42:N42" si="25">B18*B37</f>
        <v>0</v>
      </c>
      <c r="C42" s="6">
        <f t="shared" si="25"/>
        <v>5.2985323169003201E-3</v>
      </c>
      <c r="D42" s="6">
        <f t="shared" si="25"/>
        <v>8.6497079319360296E-3</v>
      </c>
      <c r="E42" s="6">
        <f t="shared" si="25"/>
        <v>2.1530815856897522E-3</v>
      </c>
      <c r="F42" s="6">
        <f t="shared" si="25"/>
        <v>1.7312156192419922E-2</v>
      </c>
      <c r="G42" s="6">
        <f t="shared" si="25"/>
        <v>8.7147957534693277E-3</v>
      </c>
      <c r="H42" s="6">
        <f t="shared" si="25"/>
        <v>0</v>
      </c>
      <c r="I42" s="6">
        <f t="shared" si="25"/>
        <v>4.239168410880699E-3</v>
      </c>
      <c r="J42" s="6">
        <f t="shared" si="25"/>
        <v>0</v>
      </c>
      <c r="K42" s="6">
        <f t="shared" si="25"/>
        <v>2.115723748365445E-3</v>
      </c>
      <c r="L42" s="6">
        <f t="shared" si="25"/>
        <v>1.1983186026129934E-3</v>
      </c>
      <c r="M42" s="6">
        <f t="shared" si="25"/>
        <v>4.3354211621943039E-3</v>
      </c>
      <c r="N42" s="6">
        <f t="shared" si="25"/>
        <v>1.0747654687697987E-3</v>
      </c>
    </row>
    <row r="43" spans="1:15">
      <c r="A43" s="15" t="s">
        <v>22</v>
      </c>
      <c r="B43" s="6">
        <f t="shared" ref="B43:N43" si="26">B19*B37</f>
        <v>0.63309128247772062</v>
      </c>
      <c r="C43" s="6">
        <f t="shared" si="26"/>
        <v>0.60201017128984746</v>
      </c>
      <c r="D43" s="6">
        <f t="shared" si="26"/>
        <v>0.97452954683420656</v>
      </c>
      <c r="E43" s="6">
        <f t="shared" si="26"/>
        <v>1.0375112821159453</v>
      </c>
      <c r="F43" s="6">
        <f t="shared" si="26"/>
        <v>1.0954361704261026</v>
      </c>
      <c r="G43" s="6">
        <f t="shared" si="26"/>
        <v>1.0037587431587833</v>
      </c>
      <c r="H43" s="6">
        <f t="shared" si="26"/>
        <v>0.64042019971912956</v>
      </c>
      <c r="I43" s="6">
        <f t="shared" si="26"/>
        <v>0.58748384146620047</v>
      </c>
      <c r="J43" s="6">
        <f t="shared" si="26"/>
        <v>0.61626433073117382</v>
      </c>
      <c r="K43" s="6">
        <f t="shared" si="26"/>
        <v>0.59984316557206696</v>
      </c>
      <c r="L43" s="6">
        <f t="shared" si="26"/>
        <v>2.9714872335690243</v>
      </c>
      <c r="M43" s="6">
        <f t="shared" si="26"/>
        <v>0.89550145491469002</v>
      </c>
      <c r="N43" s="6">
        <f t="shared" si="26"/>
        <v>0.74700418365683263</v>
      </c>
    </row>
    <row r="44" spans="1:15">
      <c r="A44" s="14" t="s">
        <v>23</v>
      </c>
      <c r="B44" s="6">
        <f t="shared" ref="B44:N44" si="27">B20*B37</f>
        <v>3.4046676847210456E-3</v>
      </c>
      <c r="C44" s="6">
        <f t="shared" si="27"/>
        <v>0</v>
      </c>
      <c r="D44" s="6">
        <f t="shared" si="27"/>
        <v>1.1584865729955908E-2</v>
      </c>
      <c r="E44" s="6">
        <f t="shared" si="27"/>
        <v>5.9980955942137454E-2</v>
      </c>
      <c r="F44" s="6">
        <f t="shared" si="27"/>
        <v>1.3912077024800943E-2</v>
      </c>
      <c r="G44" s="6">
        <f t="shared" si="27"/>
        <v>1.8675264314102161E-2</v>
      </c>
      <c r="H44" s="6">
        <f t="shared" si="27"/>
        <v>1.0205800877437426E-2</v>
      </c>
      <c r="I44" s="6">
        <f t="shared" si="27"/>
        <v>7.9487395558827667E-3</v>
      </c>
      <c r="J44" s="6">
        <f t="shared" si="27"/>
        <v>5.6130360649077806E-3</v>
      </c>
      <c r="K44" s="6">
        <f t="shared" si="27"/>
        <v>0</v>
      </c>
      <c r="L44" s="6">
        <f t="shared" si="27"/>
        <v>4.6222597849536105E-2</v>
      </c>
      <c r="M44" s="6">
        <f t="shared" si="27"/>
        <v>8.1292202486915842E-3</v>
      </c>
      <c r="N44" s="6">
        <f t="shared" si="27"/>
        <v>2.3031554350491238E-3</v>
      </c>
    </row>
    <row r="45" spans="1:15">
      <c r="A45" s="14" t="s">
        <v>24</v>
      </c>
      <c r="B45" s="6">
        <f t="shared" ref="B45:N45" si="28">B21*B37</f>
        <v>2.7914593380013817</v>
      </c>
      <c r="C45" s="6">
        <f t="shared" si="28"/>
        <v>2.8487564258295048</v>
      </c>
      <c r="D45" s="6">
        <f t="shared" si="28"/>
        <v>3.6383115554719336</v>
      </c>
      <c r="E45" s="6">
        <f t="shared" si="28"/>
        <v>2.9183648518113086</v>
      </c>
      <c r="F45" s="6">
        <f t="shared" si="28"/>
        <v>3.0188609071723724</v>
      </c>
      <c r="G45" s="6">
        <f t="shared" si="28"/>
        <v>2.9838916525496306</v>
      </c>
      <c r="H45" s="6">
        <f t="shared" si="28"/>
        <v>2.9488295912001692</v>
      </c>
      <c r="I45" s="6">
        <f t="shared" si="28"/>
        <v>2.9368936671579342</v>
      </c>
      <c r="J45" s="6">
        <f t="shared" si="28"/>
        <v>2.9192609848266691</v>
      </c>
      <c r="K45" s="6">
        <f t="shared" si="28"/>
        <v>2.9215733816458616</v>
      </c>
      <c r="L45" s="6">
        <f t="shared" si="28"/>
        <v>1.3283112060256157</v>
      </c>
      <c r="M45" s="6">
        <f t="shared" si="28"/>
        <v>2.7726902713578498</v>
      </c>
      <c r="N45" s="6">
        <f t="shared" si="28"/>
        <v>2.8568209778393179</v>
      </c>
    </row>
    <row r="46" spans="1:15">
      <c r="A46" s="14" t="s">
        <v>25</v>
      </c>
      <c r="B46" s="6">
        <f t="shared" ref="B46:N46" si="29">B22*B37</f>
        <v>0</v>
      </c>
      <c r="C46" s="6">
        <f t="shared" si="29"/>
        <v>9.7033140748717453E-3</v>
      </c>
      <c r="D46" s="6">
        <f t="shared" si="29"/>
        <v>0</v>
      </c>
      <c r="E46" s="6">
        <f t="shared" si="29"/>
        <v>0</v>
      </c>
      <c r="F46" s="6">
        <f t="shared" si="29"/>
        <v>0</v>
      </c>
      <c r="G46" s="6">
        <f t="shared" si="29"/>
        <v>3.3249144620258516E-3</v>
      </c>
      <c r="H46" s="6">
        <f t="shared" si="29"/>
        <v>0</v>
      </c>
      <c r="I46" s="6">
        <f t="shared" si="29"/>
        <v>0</v>
      </c>
      <c r="J46" s="6">
        <f t="shared" si="29"/>
        <v>0</v>
      </c>
      <c r="K46" s="6">
        <f t="shared" si="29"/>
        <v>0</v>
      </c>
      <c r="L46" s="6">
        <f t="shared" si="29"/>
        <v>4.3890123028324068E-2</v>
      </c>
      <c r="M46" s="6">
        <f t="shared" si="29"/>
        <v>0</v>
      </c>
      <c r="N46" s="6">
        <f t="shared" si="29"/>
        <v>7.654269347722488E-3</v>
      </c>
    </row>
    <row r="47" spans="1:15">
      <c r="A47" s="14" t="s">
        <v>26</v>
      </c>
      <c r="B47" s="6">
        <f t="shared" ref="B47:N47" si="30">B23*B37</f>
        <v>0.14212544834674862</v>
      </c>
      <c r="C47" s="6">
        <f t="shared" si="30"/>
        <v>0.2484817024376379</v>
      </c>
      <c r="D47" s="6">
        <f t="shared" si="30"/>
        <v>1.0434080365847849</v>
      </c>
      <c r="E47" s="6">
        <f t="shared" si="30"/>
        <v>0.71205418052959801</v>
      </c>
      <c r="F47" s="6">
        <f t="shared" si="30"/>
        <v>0.72593728951050973</v>
      </c>
      <c r="G47" s="6">
        <f t="shared" si="30"/>
        <v>0.70280833988340974</v>
      </c>
      <c r="H47" s="6">
        <f t="shared" si="30"/>
        <v>0.33422865513389755</v>
      </c>
      <c r="I47" s="6">
        <f t="shared" si="30"/>
        <v>0.31457740196825162</v>
      </c>
      <c r="J47" s="6">
        <f t="shared" si="30"/>
        <v>0.31809659904272819</v>
      </c>
      <c r="K47" s="6">
        <f t="shared" si="30"/>
        <v>0.28102681681703345</v>
      </c>
      <c r="L47" s="6">
        <f t="shared" si="30"/>
        <v>1.1921505097486877</v>
      </c>
      <c r="M47" s="6">
        <f t="shared" si="30"/>
        <v>0.16306359326748035</v>
      </c>
      <c r="N47" s="6">
        <f t="shared" si="30"/>
        <v>0.15878260766137614</v>
      </c>
    </row>
    <row r="48" spans="1:15">
      <c r="A48" s="14" t="s">
        <v>27</v>
      </c>
      <c r="B48" s="6">
        <f t="shared" ref="B48:N48" si="31">B24*B37</f>
        <v>1.7769089292484042</v>
      </c>
      <c r="C48" s="6">
        <f t="shared" si="31"/>
        <v>1.7595815290435335</v>
      </c>
      <c r="D48" s="6">
        <f t="shared" si="31"/>
        <v>0.79289884834319169</v>
      </c>
      <c r="E48" s="6">
        <f t="shared" si="31"/>
        <v>1.2673800625596701</v>
      </c>
      <c r="F48" s="6">
        <f t="shared" si="31"/>
        <v>1.1809359199499414</v>
      </c>
      <c r="G48" s="6">
        <f t="shared" si="31"/>
        <v>1.199633844197995</v>
      </c>
      <c r="H48" s="6">
        <f t="shared" si="31"/>
        <v>1.6197379772949727</v>
      </c>
      <c r="I48" s="6">
        <f t="shared" si="31"/>
        <v>1.6505532753743961</v>
      </c>
      <c r="J48" s="6">
        <f t="shared" si="31"/>
        <v>1.7139938383564268</v>
      </c>
      <c r="K48" s="6">
        <f t="shared" si="31"/>
        <v>1.6657090135315307</v>
      </c>
      <c r="L48" s="6">
        <f t="shared" si="31"/>
        <v>1.3695987801242282</v>
      </c>
      <c r="M48" s="6">
        <f t="shared" si="31"/>
        <v>1.6933466646522688</v>
      </c>
      <c r="N48" s="6">
        <f t="shared" si="31"/>
        <v>1.8373065576132139</v>
      </c>
    </row>
    <row r="49" spans="1:14">
      <c r="A49" s="14" t="s">
        <v>28</v>
      </c>
      <c r="B49" s="6">
        <f t="shared" ref="B49:N49" si="32">B25*B37</f>
        <v>0</v>
      </c>
      <c r="C49" s="6">
        <f t="shared" si="32"/>
        <v>1.3681237924674086E-2</v>
      </c>
      <c r="D49" s="6">
        <f t="shared" si="32"/>
        <v>0</v>
      </c>
      <c r="E49" s="6">
        <f t="shared" si="32"/>
        <v>2.7797151817966555E-2</v>
      </c>
      <c r="F49" s="6">
        <f t="shared" si="32"/>
        <v>1.3969182507280664E-2</v>
      </c>
      <c r="G49" s="6">
        <f t="shared" si="32"/>
        <v>2.1095911631248524E-2</v>
      </c>
      <c r="H49" s="6">
        <f t="shared" si="32"/>
        <v>8.5397442114344291E-3</v>
      </c>
      <c r="I49" s="6">
        <f t="shared" si="32"/>
        <v>1.7102929453876963E-2</v>
      </c>
      <c r="J49" s="6">
        <f t="shared" si="32"/>
        <v>1.8599051222463425E-2</v>
      </c>
      <c r="K49" s="6">
        <f t="shared" si="32"/>
        <v>1.0243067650525956E-2</v>
      </c>
      <c r="L49" s="6">
        <f t="shared" si="32"/>
        <v>1.5470776557896162E-2</v>
      </c>
      <c r="M49" s="6">
        <f t="shared" si="32"/>
        <v>0</v>
      </c>
      <c r="N49" s="6">
        <f t="shared" si="32"/>
        <v>6.9378278795067874E-3</v>
      </c>
    </row>
    <row r="50" spans="1:14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 s="1" t="s">
        <v>51</v>
      </c>
      <c r="B51" s="6">
        <f t="shared" ref="B51:N51" si="33">46*(1-B37)</f>
        <v>0.11818730247909692</v>
      </c>
      <c r="C51" s="6">
        <f t="shared" si="33"/>
        <v>0.26296055489486969</v>
      </c>
      <c r="D51" s="6">
        <f t="shared" si="33"/>
        <v>0.33667855342253561</v>
      </c>
      <c r="E51" s="6">
        <f t="shared" si="33"/>
        <v>0.52044503311504364</v>
      </c>
      <c r="F51" s="6">
        <f t="shared" si="33"/>
        <v>0.50949635991407516</v>
      </c>
      <c r="G51" s="6">
        <f t="shared" si="33"/>
        <v>0.4182299167475505</v>
      </c>
      <c r="H51" s="6">
        <f t="shared" si="33"/>
        <v>0.3225602331436721</v>
      </c>
      <c r="I51" s="6">
        <f t="shared" si="33"/>
        <v>0.26964688526319414</v>
      </c>
      <c r="J51" s="6">
        <f t="shared" si="33"/>
        <v>0.31022432034236647</v>
      </c>
      <c r="K51" s="6">
        <f t="shared" si="33"/>
        <v>0.23595051039454695</v>
      </c>
      <c r="L51" s="6">
        <f t="shared" si="33"/>
        <v>0.87673443717849819</v>
      </c>
      <c r="M51" s="6">
        <f t="shared" si="33"/>
        <v>0.19737457647492507</v>
      </c>
      <c r="N51" s="6">
        <f t="shared" si="33"/>
        <v>0.36394298950214732</v>
      </c>
    </row>
    <row r="52" spans="1:14">
      <c r="A52" s="1" t="s">
        <v>52</v>
      </c>
      <c r="B52" s="6">
        <f t="shared" ref="B52:N52" si="34">B43-B51</f>
        <v>0.5149039799986237</v>
      </c>
      <c r="C52" s="6">
        <f t="shared" si="34"/>
        <v>0.33904961639497777</v>
      </c>
      <c r="D52" s="6">
        <f t="shared" si="34"/>
        <v>0.63785099341167095</v>
      </c>
      <c r="E52" s="6">
        <f t="shared" si="34"/>
        <v>0.5170662490009017</v>
      </c>
      <c r="F52" s="6">
        <f t="shared" si="34"/>
        <v>0.58593981051202748</v>
      </c>
      <c r="G52" s="6">
        <f t="shared" si="34"/>
        <v>0.58552882641123283</v>
      </c>
      <c r="H52" s="6">
        <f t="shared" si="34"/>
        <v>0.31785996657545745</v>
      </c>
      <c r="I52" s="6">
        <f t="shared" si="34"/>
        <v>0.31783695620300634</v>
      </c>
      <c r="J52" s="6">
        <f t="shared" si="34"/>
        <v>0.30604001038880735</v>
      </c>
      <c r="K52" s="6">
        <f t="shared" si="34"/>
        <v>0.36389265517752001</v>
      </c>
      <c r="L52" s="6">
        <f t="shared" si="34"/>
        <v>2.0947527963905261</v>
      </c>
      <c r="M52" s="6">
        <f t="shared" si="34"/>
        <v>0.69812687843976495</v>
      </c>
      <c r="N52" s="6">
        <f t="shared" si="34"/>
        <v>0.38306119415468531</v>
      </c>
    </row>
    <row r="53" spans="1:14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1" t="s">
        <v>53</v>
      </c>
      <c r="B54" s="6">
        <f t="shared" ref="B54:N54" si="35">B39+B40+B41+B51+B52+B45+B44-13</f>
        <v>0.1197040204640718</v>
      </c>
      <c r="C54" s="6">
        <f t="shared" si="35"/>
        <v>6.3674630103243146E-2</v>
      </c>
      <c r="D54" s="6">
        <f t="shared" si="35"/>
        <v>0.26646084242737444</v>
      </c>
      <c r="E54" s="6">
        <f t="shared" si="35"/>
        <v>0.19205213367343532</v>
      </c>
      <c r="F54" s="6">
        <f t="shared" si="35"/>
        <v>0.24571846400369601</v>
      </c>
      <c r="G54" s="6">
        <f t="shared" si="35"/>
        <v>0.22442326522081935</v>
      </c>
      <c r="H54" s="6">
        <f t="shared" si="35"/>
        <v>0.15271215377667957</v>
      </c>
      <c r="I54" s="6">
        <f t="shared" si="35"/>
        <v>0.11960156746057926</v>
      </c>
      <c r="J54" s="6">
        <f t="shared" si="35"/>
        <v>9.9626726913189856E-2</v>
      </c>
      <c r="K54" s="6">
        <f t="shared" si="35"/>
        <v>0.12888632065014249</v>
      </c>
      <c r="L54" s="6">
        <f t="shared" si="35"/>
        <v>0.11052197464072755</v>
      </c>
      <c r="M54" s="6">
        <f t="shared" si="35"/>
        <v>0.20417269308211239</v>
      </c>
      <c r="N54" s="6">
        <f t="shared" si="35"/>
        <v>0.11576695393994818</v>
      </c>
    </row>
    <row r="55" spans="1:14">
      <c r="A55" s="1" t="s">
        <v>54</v>
      </c>
      <c r="B55" s="6">
        <f t="shared" ref="B55:N55" si="36">(B39-4)/4</f>
        <v>0.96884734565799091</v>
      </c>
      <c r="C55" s="6">
        <f t="shared" si="36"/>
        <v>0.92054518281487563</v>
      </c>
      <c r="D55" s="6">
        <f t="shared" si="36"/>
        <v>0.89387520655572295</v>
      </c>
      <c r="E55" s="6">
        <f t="shared" si="36"/>
        <v>0.79479325920012078</v>
      </c>
      <c r="F55" s="6">
        <f t="shared" si="36"/>
        <v>0.79159298840412551</v>
      </c>
      <c r="G55" s="6">
        <f t="shared" si="36"/>
        <v>0.80925791295440264</v>
      </c>
      <c r="H55" s="6">
        <f t="shared" si="36"/>
        <v>0.87824063624250948</v>
      </c>
      <c r="I55" s="6">
        <f t="shared" si="36"/>
        <v>0.89657014620318121</v>
      </c>
      <c r="J55" s="6">
        <f t="shared" si="36"/>
        <v>0.88657588988460034</v>
      </c>
      <c r="K55" s="6">
        <f t="shared" si="36"/>
        <v>0.91084606005767776</v>
      </c>
      <c r="L55" s="6">
        <f t="shared" si="36"/>
        <v>0.56354383740437597</v>
      </c>
      <c r="M55" s="6">
        <f t="shared" si="36"/>
        <v>0.95745595716502341</v>
      </c>
      <c r="N55" s="6">
        <f t="shared" si="36"/>
        <v>0.92812428762774402</v>
      </c>
    </row>
    <row r="56" spans="1:14">
      <c r="A56" s="1" t="s">
        <v>55</v>
      </c>
      <c r="B56" s="6">
        <f t="shared" ref="B56:N56" si="37">(8-B39)/4</f>
        <v>3.115265434200909E-2</v>
      </c>
      <c r="C56" s="6">
        <f t="shared" si="37"/>
        <v>7.9454817185124371E-2</v>
      </c>
      <c r="D56" s="6">
        <f t="shared" si="37"/>
        <v>0.10612479344427705</v>
      </c>
      <c r="E56" s="6">
        <f t="shared" si="37"/>
        <v>0.20520674079987922</v>
      </c>
      <c r="F56" s="6">
        <f t="shared" si="37"/>
        <v>0.20840701159587449</v>
      </c>
      <c r="G56" s="6">
        <f t="shared" si="37"/>
        <v>0.19074208704559736</v>
      </c>
      <c r="H56" s="6">
        <f t="shared" si="37"/>
        <v>0.12175936375749052</v>
      </c>
      <c r="I56" s="6">
        <f t="shared" si="37"/>
        <v>0.10342985379681879</v>
      </c>
      <c r="J56" s="6">
        <f t="shared" si="37"/>
        <v>0.11342411011539966</v>
      </c>
      <c r="K56" s="6">
        <f t="shared" si="37"/>
        <v>8.9153939942322236E-2</v>
      </c>
      <c r="L56" s="6">
        <f t="shared" si="37"/>
        <v>0.43645616259562403</v>
      </c>
      <c r="M56" s="6">
        <f t="shared" si="37"/>
        <v>4.2544042834976592E-2</v>
      </c>
      <c r="N56" s="6">
        <f t="shared" si="37"/>
        <v>7.1875712372255984E-2</v>
      </c>
    </row>
    <row r="57" spans="1:14">
      <c r="A57" s="1" t="s">
        <v>56</v>
      </c>
      <c r="B57" s="6">
        <f t="shared" ref="B57:N57" si="38">(B40+B39-8)/2</f>
        <v>0.83882100829080564</v>
      </c>
      <c r="C57" s="6">
        <f t="shared" si="38"/>
        <v>0.80191750463629141</v>
      </c>
      <c r="D57" s="6">
        <f t="shared" si="38"/>
        <v>0.31741742929565042</v>
      </c>
      <c r="E57" s="6">
        <f t="shared" si="38"/>
        <v>0.58092862253219835</v>
      </c>
      <c r="F57" s="6">
        <f t="shared" si="38"/>
        <v>0.55052000517715705</v>
      </c>
      <c r="G57" s="6">
        <f t="shared" si="38"/>
        <v>0.59972198059196913</v>
      </c>
      <c r="H57" s="6">
        <f t="shared" si="38"/>
        <v>0.77209762070057497</v>
      </c>
      <c r="I57" s="6">
        <f t="shared" si="38"/>
        <v>0.7896048787778156</v>
      </c>
      <c r="J57" s="6">
        <f t="shared" si="38"/>
        <v>0.77077208597618618</v>
      </c>
      <c r="K57" s="6">
        <f t="shared" si="38"/>
        <v>0.79819991242560118</v>
      </c>
      <c r="L57" s="6">
        <f t="shared" si="38"/>
        <v>0.37085069425727291</v>
      </c>
      <c r="M57" s="6">
        <f t="shared" si="38"/>
        <v>0.76186369954740929</v>
      </c>
      <c r="N57" s="6">
        <f t="shared" si="38"/>
        <v>0.75379687891387093</v>
      </c>
    </row>
    <row r="58" spans="1:14">
      <c r="A58" s="1" t="s">
        <v>57</v>
      </c>
      <c r="B58" s="6">
        <f t="shared" ref="B58:N58" si="39">B49</f>
        <v>0</v>
      </c>
      <c r="C58" s="6">
        <f t="shared" si="39"/>
        <v>1.3681237924674086E-2</v>
      </c>
      <c r="D58" s="6">
        <f t="shared" si="39"/>
        <v>0</v>
      </c>
      <c r="E58" s="6">
        <f t="shared" si="39"/>
        <v>2.7797151817966555E-2</v>
      </c>
      <c r="F58" s="6">
        <f t="shared" si="39"/>
        <v>1.3969182507280664E-2</v>
      </c>
      <c r="G58" s="6">
        <f t="shared" si="39"/>
        <v>2.1095911631248524E-2</v>
      </c>
      <c r="H58" s="6">
        <f t="shared" si="39"/>
        <v>8.5397442114344291E-3</v>
      </c>
      <c r="I58" s="6">
        <f t="shared" si="39"/>
        <v>1.7102929453876963E-2</v>
      </c>
      <c r="J58" s="6">
        <f t="shared" si="39"/>
        <v>1.8599051222463425E-2</v>
      </c>
      <c r="K58" s="6">
        <f t="shared" si="39"/>
        <v>1.0243067650525956E-2</v>
      </c>
      <c r="L58" s="6">
        <f t="shared" si="39"/>
        <v>1.5470776557896162E-2</v>
      </c>
      <c r="M58" s="6">
        <f t="shared" si="39"/>
        <v>0</v>
      </c>
      <c r="N58" s="6">
        <f t="shared" si="39"/>
        <v>6.9378278795067874E-3</v>
      </c>
    </row>
    <row r="59" spans="1:14">
      <c r="A59" s="1" t="s">
        <v>58</v>
      </c>
      <c r="B59" s="6">
        <f t="shared" ref="B59:N59" si="40">3-B47-B48-B49-B54</f>
        <v>0.96126160194077537</v>
      </c>
      <c r="C59" s="6">
        <f t="shared" si="40"/>
        <v>0.91458090049091145</v>
      </c>
      <c r="D59" s="6">
        <f t="shared" si="40"/>
        <v>0.89723227264464889</v>
      </c>
      <c r="E59" s="6">
        <f t="shared" si="40"/>
        <v>0.80071647141932989</v>
      </c>
      <c r="F59" s="6">
        <f t="shared" si="40"/>
        <v>0.833439144028572</v>
      </c>
      <c r="G59" s="6">
        <f t="shared" si="40"/>
        <v>0.85203863906652755</v>
      </c>
      <c r="H59" s="6">
        <f t="shared" si="40"/>
        <v>0.88478146958301562</v>
      </c>
      <c r="I59" s="6">
        <f t="shared" si="40"/>
        <v>0.89816482574289624</v>
      </c>
      <c r="J59" s="6">
        <f t="shared" si="40"/>
        <v>0.84968378446519188</v>
      </c>
      <c r="K59" s="6">
        <f t="shared" si="40"/>
        <v>0.91413478135076764</v>
      </c>
      <c r="L59" s="6">
        <f t="shared" si="40"/>
        <v>0.31225795892846037</v>
      </c>
      <c r="M59" s="6">
        <f t="shared" si="40"/>
        <v>0.9394170489981386</v>
      </c>
      <c r="N59" s="6">
        <f t="shared" si="40"/>
        <v>0.88120605290595477</v>
      </c>
    </row>
    <row r="60" spans="1:14">
      <c r="A60" s="1" t="s">
        <v>59</v>
      </c>
      <c r="B60" s="6">
        <f t="shared" ref="B60:N60" si="41">B47+B48+B54-2</f>
        <v>3.8738398059224632E-2</v>
      </c>
      <c r="C60" s="6">
        <f t="shared" si="41"/>
        <v>7.1737861584414642E-2</v>
      </c>
      <c r="D60" s="6">
        <f t="shared" si="41"/>
        <v>0.10276772735535111</v>
      </c>
      <c r="E60" s="6">
        <f t="shared" si="41"/>
        <v>0.17148637676270351</v>
      </c>
      <c r="F60" s="6">
        <f t="shared" si="41"/>
        <v>0.15259167346414726</v>
      </c>
      <c r="G60" s="6">
        <f t="shared" si="41"/>
        <v>0.12686544930222432</v>
      </c>
      <c r="H60" s="6">
        <f t="shared" si="41"/>
        <v>0.10667878620555005</v>
      </c>
      <c r="I60" s="6">
        <f t="shared" si="41"/>
        <v>8.4732244803227275E-2</v>
      </c>
      <c r="J60" s="6">
        <f t="shared" si="41"/>
        <v>0.1317171643123447</v>
      </c>
      <c r="K60" s="6">
        <f t="shared" si="41"/>
        <v>7.5622150998706505E-2</v>
      </c>
      <c r="L60" s="6">
        <f t="shared" si="41"/>
        <v>0.67227126451364327</v>
      </c>
      <c r="M60" s="6">
        <f t="shared" si="41"/>
        <v>6.0582951001861396E-2</v>
      </c>
      <c r="N60" s="6">
        <f t="shared" si="41"/>
        <v>0.1118561192145382</v>
      </c>
    </row>
    <row r="61" spans="1:14">
      <c r="A61" s="1" t="s">
        <v>60</v>
      </c>
      <c r="B61" s="6">
        <f t="shared" ref="B61:N61" si="42">(2-B47-B54)/2</f>
        <v>0.86908526559458976</v>
      </c>
      <c r="C61" s="6">
        <f t="shared" si="42"/>
        <v>0.84392183372955953</v>
      </c>
      <c r="D61" s="6">
        <f t="shared" si="42"/>
        <v>0.34506556049392034</v>
      </c>
      <c r="E61" s="6">
        <f t="shared" si="42"/>
        <v>0.54794684289848328</v>
      </c>
      <c r="F61" s="6">
        <f t="shared" si="42"/>
        <v>0.51417212324289707</v>
      </c>
      <c r="G61" s="6">
        <f t="shared" si="42"/>
        <v>0.53638419744788546</v>
      </c>
      <c r="H61" s="6">
        <f t="shared" si="42"/>
        <v>0.75652959554471144</v>
      </c>
      <c r="I61" s="6">
        <f t="shared" si="42"/>
        <v>0.78291051528558453</v>
      </c>
      <c r="J61" s="6">
        <f t="shared" si="42"/>
        <v>0.79113833702204095</v>
      </c>
      <c r="K61" s="6">
        <f t="shared" si="42"/>
        <v>0.79504343126641208</v>
      </c>
      <c r="L61" s="6">
        <f t="shared" si="42"/>
        <v>0.34866375780529235</v>
      </c>
      <c r="M61" s="6">
        <f t="shared" si="42"/>
        <v>0.81638185682520359</v>
      </c>
      <c r="N61" s="6">
        <f t="shared" si="42"/>
        <v>0.86272521919933787</v>
      </c>
    </row>
    <row r="62" spans="1:14">
      <c r="A62" s="1" t="s">
        <v>61</v>
      </c>
      <c r="B62" s="6">
        <f t="shared" ref="B62:N62" si="43">B47/2</f>
        <v>7.1062724173374309E-2</v>
      </c>
      <c r="C62" s="6">
        <f t="shared" si="43"/>
        <v>0.12424085121881895</v>
      </c>
      <c r="D62" s="6">
        <f t="shared" si="43"/>
        <v>0.52170401829239244</v>
      </c>
      <c r="E62" s="6">
        <f t="shared" si="43"/>
        <v>0.35602709026479901</v>
      </c>
      <c r="F62" s="6">
        <f t="shared" si="43"/>
        <v>0.36296864475525487</v>
      </c>
      <c r="G62" s="6">
        <f t="shared" si="43"/>
        <v>0.35140416994170487</v>
      </c>
      <c r="H62" s="6">
        <f t="shared" si="43"/>
        <v>0.16711432756694877</v>
      </c>
      <c r="I62" s="6">
        <f t="shared" si="43"/>
        <v>0.15728870098412581</v>
      </c>
      <c r="J62" s="6">
        <f t="shared" si="43"/>
        <v>0.15904829952136409</v>
      </c>
      <c r="K62" s="6">
        <f t="shared" si="43"/>
        <v>0.14051340840851673</v>
      </c>
      <c r="L62" s="6">
        <f t="shared" si="43"/>
        <v>0.59607525487434387</v>
      </c>
      <c r="M62" s="6">
        <f t="shared" si="43"/>
        <v>8.1531796633740175E-2</v>
      </c>
      <c r="N62" s="6">
        <f t="shared" si="43"/>
        <v>7.939130383068807E-2</v>
      </c>
    </row>
    <row r="63" spans="1:14">
      <c r="B63" s="6"/>
      <c r="C63" s="6"/>
    </row>
    <row r="64" spans="1:14">
      <c r="A64" t="s">
        <v>62</v>
      </c>
      <c r="B64" s="6">
        <f t="shared" ref="B64:N64" si="44">B52/(B52+B44+B45+B46)</f>
        <v>0.15557101954749256</v>
      </c>
      <c r="C64" s="6">
        <f t="shared" si="44"/>
        <v>0.10603553535411002</v>
      </c>
      <c r="D64" s="6">
        <f t="shared" si="44"/>
        <v>0.1487613265738878</v>
      </c>
      <c r="E64" s="6">
        <f t="shared" si="44"/>
        <v>0.14792712292725274</v>
      </c>
      <c r="F64" s="6">
        <f t="shared" si="44"/>
        <v>0.16191940166368288</v>
      </c>
      <c r="G64" s="6">
        <f t="shared" si="44"/>
        <v>0.16303543422289701</v>
      </c>
      <c r="H64" s="6">
        <f t="shared" si="44"/>
        <v>9.7000340806155827E-2</v>
      </c>
      <c r="I64" s="6">
        <f t="shared" si="44"/>
        <v>9.7415933608278715E-2</v>
      </c>
      <c r="J64" s="6">
        <f t="shared" si="44"/>
        <v>9.4722424498409272E-2</v>
      </c>
      <c r="K64" s="6">
        <f t="shared" si="44"/>
        <v>0.1107583067665362</v>
      </c>
      <c r="L64" s="6">
        <f t="shared" si="44"/>
        <v>0.59625602734452177</v>
      </c>
      <c r="M64" s="6">
        <f t="shared" si="44"/>
        <v>0.2006719288490994</v>
      </c>
      <c r="N64" s="6">
        <f t="shared" si="44"/>
        <v>0.11787080031107057</v>
      </c>
    </row>
    <row r="65" spans="1:14">
      <c r="A65" t="s">
        <v>63</v>
      </c>
      <c r="B65" s="6">
        <f t="shared" ref="B65:N65" si="45">B51/(B51+B41+B42+B40-(8-B39))</f>
        <v>6.5299159864235443E-2</v>
      </c>
      <c r="C65" s="6">
        <f t="shared" si="45"/>
        <v>0.13978585531918014</v>
      </c>
      <c r="D65" s="6">
        <f t="shared" si="45"/>
        <v>0.34098756701934613</v>
      </c>
      <c r="E65" s="6">
        <f t="shared" si="45"/>
        <v>0.30636162531589295</v>
      </c>
      <c r="F65" s="6">
        <f t="shared" si="45"/>
        <v>0.3098527255600379</v>
      </c>
      <c r="G65" s="6">
        <f t="shared" si="45"/>
        <v>0.25423657023757701</v>
      </c>
      <c r="H65" s="6">
        <f t="shared" si="45"/>
        <v>0.1719572156418484</v>
      </c>
      <c r="I65" s="6">
        <f t="shared" si="45"/>
        <v>0.14488098086579304</v>
      </c>
      <c r="J65" s="6">
        <f t="shared" si="45"/>
        <v>0.16600963918496564</v>
      </c>
      <c r="K65" s="6">
        <f t="shared" si="45"/>
        <v>0.12784931284248705</v>
      </c>
      <c r="L65" s="6">
        <f t="shared" si="45"/>
        <v>0.53380202861585002</v>
      </c>
      <c r="M65" s="6">
        <f t="shared" si="45"/>
        <v>0.11411825980601104</v>
      </c>
      <c r="N65" s="6">
        <f t="shared" si="45"/>
        <v>0.1941385050930951</v>
      </c>
    </row>
    <row r="66" spans="1:14">
      <c r="B66" s="6"/>
      <c r="C66" s="6"/>
    </row>
    <row r="67" spans="1:14">
      <c r="B67" s="6"/>
      <c r="C67" s="6"/>
    </row>
    <row r="68" spans="1:14">
      <c r="B68" s="6"/>
      <c r="C68" s="6"/>
    </row>
    <row r="69" spans="1:14">
      <c r="B69" s="6"/>
      <c r="C69" s="6"/>
    </row>
    <row r="70" spans="1:14">
      <c r="B70" s="6"/>
      <c r="C70" s="6"/>
      <c r="F70" s="6"/>
    </row>
    <row r="71" spans="1:14">
      <c r="B71" s="6"/>
      <c r="C71" s="6"/>
      <c r="F71" s="6"/>
    </row>
    <row r="72" spans="1:14">
      <c r="B72" s="6"/>
      <c r="C72" s="6"/>
      <c r="F72" s="6"/>
    </row>
    <row r="73" spans="1:14">
      <c r="B73" s="6"/>
      <c r="C73" s="6"/>
      <c r="F73" s="6"/>
    </row>
    <row r="74" spans="1:14">
      <c r="B74" s="6"/>
      <c r="C74" s="6"/>
      <c r="F74" s="6"/>
    </row>
    <row r="75" spans="1:14">
      <c r="F75" s="6"/>
    </row>
    <row r="76" spans="1:14">
      <c r="F76" s="6"/>
    </row>
    <row r="77" spans="1:14">
      <c r="F77" s="6"/>
    </row>
    <row r="78" spans="1:14">
      <c r="F78" s="3"/>
    </row>
    <row r="79" spans="1:14">
      <c r="F79" s="3"/>
    </row>
    <row r="80" spans="1:14">
      <c r="F80" s="3"/>
    </row>
    <row r="81" spans="6:6">
      <c r="F81" s="3"/>
    </row>
    <row r="82" spans="6:6">
      <c r="F82" s="3"/>
    </row>
    <row r="83" spans="6:6">
      <c r="F83" s="3"/>
    </row>
    <row r="160" spans="4:27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4:27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4:27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4:27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4:27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4:27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4:27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4:27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4:27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4:27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1" spans="4:27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4:27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4" spans="4:27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4:27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4:27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4:27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4:27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4:27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4:27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4:27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4:27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4:27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4:27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4:27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4:27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4:27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4:27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4:27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4:27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4:27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78"/>
  <sheetViews>
    <sheetView workbookViewId="0">
      <selection sqref="A1:XFD1048576"/>
    </sheetView>
  </sheetViews>
  <sheetFormatPr baseColWidth="10" defaultColWidth="11.42578125" defaultRowHeight="14"/>
  <cols>
    <col min="1" max="1" width="6.85546875" customWidth="1"/>
    <col min="2" max="2" width="4.5703125" style="19" customWidth="1"/>
    <col min="3" max="29" width="5.28515625" customWidth="1"/>
    <col min="30" max="41" width="5.42578125" customWidth="1"/>
    <col min="42" max="253" width="11" customWidth="1"/>
  </cols>
  <sheetData>
    <row r="1" spans="1:41" s="17" customFormat="1" ht="13">
      <c r="B1" s="18"/>
      <c r="C1" s="17" t="s">
        <v>64</v>
      </c>
      <c r="F1" s="17" t="s">
        <v>65</v>
      </c>
      <c r="J1" s="17" t="s">
        <v>66</v>
      </c>
      <c r="M1" s="17" t="s">
        <v>67</v>
      </c>
      <c r="P1" s="17" t="s">
        <v>68</v>
      </c>
      <c r="R1" s="17" t="s">
        <v>69</v>
      </c>
      <c r="U1" s="17" t="s">
        <v>70</v>
      </c>
    </row>
    <row r="3" spans="1:41">
      <c r="A3" s="1" t="s">
        <v>0</v>
      </c>
      <c r="B3" s="10">
        <v>853</v>
      </c>
      <c r="C3" s="10" t="s">
        <v>71</v>
      </c>
      <c r="D3" s="10" t="s">
        <v>71</v>
      </c>
      <c r="E3" s="10">
        <v>430</v>
      </c>
      <c r="F3" s="10" t="s">
        <v>72</v>
      </c>
      <c r="G3" s="10" t="s">
        <v>72</v>
      </c>
      <c r="H3" s="10" t="s">
        <v>72</v>
      </c>
      <c r="I3" s="10" t="s">
        <v>72</v>
      </c>
      <c r="J3" s="20" t="s">
        <v>2</v>
      </c>
      <c r="K3" s="20" t="s">
        <v>2</v>
      </c>
      <c r="L3" s="10" t="s">
        <v>72</v>
      </c>
      <c r="M3" s="10" t="s">
        <v>73</v>
      </c>
      <c r="N3" s="10" t="s">
        <v>74</v>
      </c>
      <c r="O3" s="10" t="s">
        <v>74</v>
      </c>
      <c r="P3" s="10" t="s">
        <v>75</v>
      </c>
      <c r="Q3" s="10" t="s">
        <v>75</v>
      </c>
      <c r="R3" s="10">
        <v>93.1</v>
      </c>
      <c r="S3" s="10">
        <v>93.1</v>
      </c>
      <c r="T3" s="10">
        <v>93.1</v>
      </c>
      <c r="U3" s="10" t="s">
        <v>76</v>
      </c>
      <c r="V3" s="10" t="s">
        <v>76</v>
      </c>
      <c r="W3" s="10" t="s">
        <v>76</v>
      </c>
    </row>
    <row r="4" spans="1:41">
      <c r="A4" s="1" t="s">
        <v>4</v>
      </c>
      <c r="B4" s="21"/>
      <c r="C4" s="10" t="s">
        <v>77</v>
      </c>
      <c r="D4" s="10" t="s">
        <v>78</v>
      </c>
      <c r="E4" s="10">
        <v>131</v>
      </c>
      <c r="F4" s="10" t="s">
        <v>79</v>
      </c>
      <c r="G4" s="10" t="s">
        <v>80</v>
      </c>
      <c r="H4" s="10" t="s">
        <v>81</v>
      </c>
      <c r="I4" s="10" t="s">
        <v>82</v>
      </c>
      <c r="J4" s="22">
        <v>40</v>
      </c>
      <c r="K4" s="22">
        <v>41</v>
      </c>
      <c r="L4" s="10" t="s">
        <v>83</v>
      </c>
      <c r="M4" s="10" t="s">
        <v>84</v>
      </c>
      <c r="N4" s="10">
        <v>26</v>
      </c>
      <c r="O4" s="10">
        <v>27</v>
      </c>
      <c r="P4" s="10" t="s">
        <v>85</v>
      </c>
      <c r="Q4" s="10" t="s">
        <v>86</v>
      </c>
      <c r="R4" s="10" t="s">
        <v>87</v>
      </c>
      <c r="S4" s="10" t="s">
        <v>88</v>
      </c>
      <c r="T4" s="10" t="s">
        <v>89</v>
      </c>
      <c r="U4" s="10">
        <v>67</v>
      </c>
      <c r="V4" s="10">
        <v>76</v>
      </c>
      <c r="W4" s="10">
        <v>77</v>
      </c>
    </row>
    <row r="5" spans="1:41">
      <c r="A5" t="s">
        <v>5</v>
      </c>
      <c r="B5" s="23">
        <v>2.7E-2</v>
      </c>
      <c r="C5" s="11">
        <v>0.53</v>
      </c>
      <c r="D5" s="11">
        <v>0.43</v>
      </c>
      <c r="E5" s="11">
        <v>0.53</v>
      </c>
      <c r="F5" s="11">
        <v>0.23</v>
      </c>
      <c r="G5" s="11">
        <v>0.12</v>
      </c>
      <c r="H5" s="11">
        <v>0</v>
      </c>
      <c r="I5" s="11">
        <v>0.15</v>
      </c>
      <c r="J5" s="24">
        <v>1.31</v>
      </c>
      <c r="K5" s="24">
        <v>1.55</v>
      </c>
      <c r="L5" s="11">
        <v>0.14000000000000001</v>
      </c>
      <c r="M5" s="11">
        <v>0.34</v>
      </c>
      <c r="N5" s="11">
        <v>0</v>
      </c>
      <c r="O5" s="11">
        <v>0.39</v>
      </c>
      <c r="P5" s="11">
        <v>0.22</v>
      </c>
      <c r="Q5" s="11">
        <v>0.27</v>
      </c>
      <c r="R5" s="11">
        <v>0.16</v>
      </c>
      <c r="S5" s="11">
        <v>0.13</v>
      </c>
      <c r="T5" s="11">
        <v>0.09</v>
      </c>
      <c r="U5" s="11">
        <v>0.05</v>
      </c>
      <c r="V5" s="11">
        <v>0.17</v>
      </c>
      <c r="W5" s="11">
        <v>0.15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</row>
    <row r="6" spans="1:41">
      <c r="A6" t="s">
        <v>6</v>
      </c>
      <c r="B6" s="23">
        <v>1.296</v>
      </c>
      <c r="C6" s="11">
        <v>8.2899999999999991</v>
      </c>
      <c r="D6" s="11">
        <v>8.2100000000000009</v>
      </c>
      <c r="E6" s="11">
        <v>11.82</v>
      </c>
      <c r="F6" s="11">
        <v>7.78</v>
      </c>
      <c r="G6" s="11">
        <v>8.01</v>
      </c>
      <c r="H6" s="11">
        <v>8.4</v>
      </c>
      <c r="I6" s="11">
        <v>7.98</v>
      </c>
      <c r="J6" s="24">
        <v>9.27</v>
      </c>
      <c r="K6" s="24">
        <v>9.73</v>
      </c>
      <c r="L6" s="11">
        <v>9.52</v>
      </c>
      <c r="M6" s="11">
        <v>9.0500000000000007</v>
      </c>
      <c r="N6" s="11">
        <v>16.05</v>
      </c>
      <c r="O6" s="11">
        <v>9.3800000000000008</v>
      </c>
      <c r="P6" s="11">
        <v>8.75</v>
      </c>
      <c r="Q6" s="11">
        <v>8.7899999999999991</v>
      </c>
      <c r="R6" s="11">
        <v>8.82</v>
      </c>
      <c r="S6" s="11">
        <v>7.25</v>
      </c>
      <c r="T6" s="11">
        <v>9.2799999999999994</v>
      </c>
      <c r="U6" s="11">
        <v>8.77</v>
      </c>
      <c r="V6" s="11">
        <v>7.28</v>
      </c>
      <c r="W6" s="11">
        <v>7.09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</row>
    <row r="7" spans="1:41">
      <c r="A7" t="s">
        <v>7</v>
      </c>
      <c r="B7" s="23">
        <v>4.2999999999999997E-2</v>
      </c>
      <c r="C7" s="11">
        <v>0.38</v>
      </c>
      <c r="D7" s="11">
        <v>0.56999999999999995</v>
      </c>
      <c r="E7" s="11">
        <v>0.14000000000000001</v>
      </c>
      <c r="F7" s="11">
        <v>0.31</v>
      </c>
      <c r="G7" s="11">
        <v>0.22</v>
      </c>
      <c r="H7" s="11">
        <v>0.67</v>
      </c>
      <c r="I7" s="11">
        <v>0.34</v>
      </c>
      <c r="J7" s="24">
        <v>0.09</v>
      </c>
      <c r="K7" s="24">
        <v>0.6</v>
      </c>
      <c r="L7" s="11">
        <v>0.1</v>
      </c>
      <c r="M7" s="11">
        <v>0.2</v>
      </c>
      <c r="N7" s="11">
        <v>0</v>
      </c>
      <c r="O7" s="11">
        <v>0.3</v>
      </c>
      <c r="P7" s="11">
        <v>0.4</v>
      </c>
      <c r="Q7" s="11">
        <v>0.53</v>
      </c>
      <c r="R7" s="11">
        <v>0.46</v>
      </c>
      <c r="S7" s="11">
        <v>0.08</v>
      </c>
      <c r="T7" s="11">
        <v>0.12</v>
      </c>
      <c r="U7" s="11">
        <v>0.41</v>
      </c>
      <c r="V7" s="11">
        <v>0.25</v>
      </c>
      <c r="W7" s="11">
        <v>0.26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</row>
    <row r="8" spans="1:41">
      <c r="A8" t="s">
        <v>8</v>
      </c>
      <c r="B8" s="23">
        <v>7.1999999999999995E-2</v>
      </c>
      <c r="C8" s="11">
        <v>0.06</v>
      </c>
      <c r="D8" s="11">
        <v>0.05</v>
      </c>
      <c r="E8" s="11">
        <v>0</v>
      </c>
      <c r="F8" s="11">
        <v>0.05</v>
      </c>
      <c r="G8" s="11">
        <v>0.05</v>
      </c>
      <c r="H8" s="11">
        <v>0</v>
      </c>
      <c r="I8" s="11">
        <v>0.03</v>
      </c>
      <c r="J8" s="24">
        <v>0</v>
      </c>
      <c r="K8" s="24">
        <v>0.04</v>
      </c>
      <c r="L8" s="11">
        <v>0.03</v>
      </c>
      <c r="M8" s="11">
        <v>0.1</v>
      </c>
      <c r="N8" s="11">
        <v>0.16</v>
      </c>
      <c r="O8" s="11">
        <v>0.39</v>
      </c>
      <c r="P8" s="11">
        <v>0</v>
      </c>
      <c r="Q8" s="11">
        <v>0.1</v>
      </c>
      <c r="R8" s="11">
        <v>0.06</v>
      </c>
      <c r="S8" s="11">
        <v>0.04</v>
      </c>
      <c r="T8" s="11">
        <v>0.02</v>
      </c>
      <c r="U8" s="11">
        <v>0</v>
      </c>
      <c r="V8" s="11">
        <v>0.1</v>
      </c>
      <c r="W8" s="11">
        <v>0.06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</row>
    <row r="9" spans="1:41">
      <c r="A9" t="s">
        <v>9</v>
      </c>
      <c r="B9" s="23">
        <v>1.7000000000000001E-2</v>
      </c>
      <c r="C9" s="11">
        <v>0.04</v>
      </c>
      <c r="D9" s="11">
        <v>0.08</v>
      </c>
      <c r="E9" s="11">
        <v>0.22</v>
      </c>
      <c r="F9" s="11">
        <v>0.01</v>
      </c>
      <c r="G9" s="11">
        <v>0</v>
      </c>
      <c r="H9" s="11">
        <v>0.15</v>
      </c>
      <c r="I9" s="11">
        <v>0.14000000000000001</v>
      </c>
      <c r="J9" s="24">
        <v>0.21</v>
      </c>
      <c r="K9" s="24">
        <v>0.04</v>
      </c>
      <c r="L9" s="11">
        <v>0.11</v>
      </c>
      <c r="M9" s="11">
        <v>0.04</v>
      </c>
      <c r="N9" s="11">
        <v>0</v>
      </c>
      <c r="O9" s="11">
        <v>0.06</v>
      </c>
      <c r="P9" s="11">
        <v>7.0000000000000007E-2</v>
      </c>
      <c r="Q9" s="11">
        <v>0</v>
      </c>
      <c r="R9" s="11">
        <v>0.01</v>
      </c>
      <c r="S9" s="11">
        <v>0.11</v>
      </c>
      <c r="T9" s="11">
        <v>0.19</v>
      </c>
      <c r="U9" s="11">
        <v>0.24</v>
      </c>
      <c r="V9" s="11">
        <v>0.01</v>
      </c>
      <c r="W9" s="11">
        <v>0.05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</row>
    <row r="10" spans="1:41">
      <c r="A10" t="s">
        <v>10</v>
      </c>
      <c r="B10" s="25">
        <v>12.391</v>
      </c>
      <c r="C10" s="11">
        <v>11.21</v>
      </c>
      <c r="D10" s="11">
        <v>12.18</v>
      </c>
      <c r="E10" s="11">
        <v>20.16</v>
      </c>
      <c r="F10" s="11">
        <v>7.72</v>
      </c>
      <c r="G10" s="11">
        <v>6.64</v>
      </c>
      <c r="H10" s="11">
        <v>13.37</v>
      </c>
      <c r="I10" s="11">
        <v>12.56</v>
      </c>
      <c r="J10" s="24">
        <v>18.03</v>
      </c>
      <c r="K10" s="24">
        <v>17.89</v>
      </c>
      <c r="L10" s="11">
        <v>13.03</v>
      </c>
      <c r="M10" s="11">
        <v>7.54</v>
      </c>
      <c r="N10" s="11">
        <v>2.88</v>
      </c>
      <c r="O10" s="11">
        <v>7.95</v>
      </c>
      <c r="P10" s="11">
        <v>10.31</v>
      </c>
      <c r="Q10" s="11">
        <v>11.17</v>
      </c>
      <c r="R10" s="11">
        <v>13.05</v>
      </c>
      <c r="S10" s="11">
        <v>16.22</v>
      </c>
      <c r="T10" s="11">
        <v>16.239999999999998</v>
      </c>
      <c r="U10" s="11">
        <v>18.760000000000002</v>
      </c>
      <c r="V10" s="11">
        <v>9.39</v>
      </c>
      <c r="W10" s="11">
        <v>7.81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1">
      <c r="A11" t="s">
        <v>11</v>
      </c>
      <c r="B11" s="1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24">
        <v>0</v>
      </c>
      <c r="K11" s="24">
        <v>0.09</v>
      </c>
      <c r="L11" s="10">
        <v>0</v>
      </c>
      <c r="M11" s="10">
        <v>0.05</v>
      </c>
      <c r="N11" s="10">
        <v>0.02</v>
      </c>
      <c r="O11" s="10">
        <v>0.14000000000000001</v>
      </c>
      <c r="P11" s="10">
        <v>0</v>
      </c>
      <c r="Q11" s="10">
        <v>0</v>
      </c>
      <c r="R11" s="10">
        <v>0.08</v>
      </c>
      <c r="S11" s="10">
        <v>0.04</v>
      </c>
      <c r="T11" s="10">
        <v>0</v>
      </c>
      <c r="U11" s="10">
        <v>0</v>
      </c>
      <c r="V11" s="10">
        <v>0.02</v>
      </c>
      <c r="W11" s="10">
        <v>0.1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1">
      <c r="A12" t="s">
        <v>12</v>
      </c>
      <c r="B12" s="23">
        <v>6.6130000000000004</v>
      </c>
      <c r="C12" s="11">
        <v>4.2</v>
      </c>
      <c r="D12" s="11">
        <v>4.87</v>
      </c>
      <c r="E12" s="11">
        <v>1.85</v>
      </c>
      <c r="F12" s="11">
        <v>4.3499999999999996</v>
      </c>
      <c r="G12" s="11">
        <v>4.71</v>
      </c>
      <c r="H12" s="11">
        <v>4.3899999999999997</v>
      </c>
      <c r="I12" s="11">
        <v>4.5199999999999996</v>
      </c>
      <c r="J12" s="24">
        <v>3.05</v>
      </c>
      <c r="K12" s="24">
        <v>3.03</v>
      </c>
      <c r="L12" s="11">
        <v>4.32</v>
      </c>
      <c r="M12" s="11">
        <v>3.59</v>
      </c>
      <c r="N12" s="11">
        <v>5.52</v>
      </c>
      <c r="O12" s="11">
        <v>3.55</v>
      </c>
      <c r="P12" s="11">
        <v>3.66</v>
      </c>
      <c r="Q12" s="11">
        <v>3.9</v>
      </c>
      <c r="R12" s="11">
        <v>4.66</v>
      </c>
      <c r="S12" s="11">
        <v>5.2</v>
      </c>
      <c r="T12" s="11">
        <v>4.63</v>
      </c>
      <c r="U12" s="11">
        <v>4.4400000000000004</v>
      </c>
      <c r="V12" s="11">
        <v>4.4800000000000004</v>
      </c>
      <c r="W12" s="11">
        <v>4.4000000000000004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</row>
    <row r="13" spans="1:41">
      <c r="A13" t="s">
        <v>13</v>
      </c>
      <c r="B13" s="23">
        <v>55.816000000000003</v>
      </c>
      <c r="C13" s="11">
        <v>45.25</v>
      </c>
      <c r="D13" s="11">
        <v>44.21</v>
      </c>
      <c r="E13" s="11">
        <v>43.87</v>
      </c>
      <c r="F13" s="11">
        <v>49.02</v>
      </c>
      <c r="G13" s="11">
        <v>49.48</v>
      </c>
      <c r="H13" s="11">
        <v>43.49</v>
      </c>
      <c r="I13" s="11">
        <v>45.43</v>
      </c>
      <c r="J13" s="24">
        <v>37.979999999999997</v>
      </c>
      <c r="K13" s="24">
        <v>37.86</v>
      </c>
      <c r="L13" s="11">
        <v>40.82</v>
      </c>
      <c r="M13" s="11">
        <v>50.46</v>
      </c>
      <c r="N13" s="11">
        <v>58.63</v>
      </c>
      <c r="O13" s="11">
        <v>48.27</v>
      </c>
      <c r="P13" s="11">
        <v>43.71</v>
      </c>
      <c r="Q13" s="11">
        <v>44.44</v>
      </c>
      <c r="R13" s="11">
        <v>40.49</v>
      </c>
      <c r="S13" s="11">
        <v>44.52</v>
      </c>
      <c r="T13" s="11">
        <v>39.369999999999997</v>
      </c>
      <c r="U13" s="11">
        <v>39.43</v>
      </c>
      <c r="V13" s="11">
        <v>47.01</v>
      </c>
      <c r="W13" s="11">
        <v>48.95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</row>
    <row r="14" spans="1:41">
      <c r="A14" t="s">
        <v>14</v>
      </c>
      <c r="B14" s="23">
        <v>10.757999999999999</v>
      </c>
      <c r="C14" s="11">
        <v>15.02</v>
      </c>
      <c r="D14" s="11">
        <v>16.05</v>
      </c>
      <c r="E14" s="11">
        <v>9.3000000000000007</v>
      </c>
      <c r="F14" s="11">
        <v>13.23</v>
      </c>
      <c r="G14" s="11">
        <v>13.31</v>
      </c>
      <c r="H14" s="11">
        <v>15.32</v>
      </c>
      <c r="I14" s="11">
        <v>14.78</v>
      </c>
      <c r="J14" s="24">
        <v>17.61</v>
      </c>
      <c r="K14" s="24">
        <v>18.82</v>
      </c>
      <c r="L14" s="11">
        <v>18.63</v>
      </c>
      <c r="M14" s="11">
        <v>12.58</v>
      </c>
      <c r="N14" s="11">
        <v>9.6300000000000008</v>
      </c>
      <c r="O14" s="11">
        <v>13.79</v>
      </c>
      <c r="P14" s="11">
        <v>17.579999999999998</v>
      </c>
      <c r="Q14" s="11">
        <v>16.420000000000002</v>
      </c>
      <c r="R14" s="11">
        <v>18.05</v>
      </c>
      <c r="S14" s="11">
        <v>15.12</v>
      </c>
      <c r="T14" s="11">
        <v>19.05</v>
      </c>
      <c r="U14" s="11">
        <v>16.11</v>
      </c>
      <c r="V14" s="11">
        <v>12.66</v>
      </c>
      <c r="W14" s="11">
        <v>11.93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1">
      <c r="A15" t="s">
        <v>15</v>
      </c>
      <c r="B15" s="23">
        <v>9.1280000000000001</v>
      </c>
      <c r="C15" s="11">
        <v>12.12</v>
      </c>
      <c r="D15" s="11">
        <v>11.21</v>
      </c>
      <c r="E15" s="11">
        <v>8.66</v>
      </c>
      <c r="F15" s="11">
        <v>13.92</v>
      </c>
      <c r="G15" s="11">
        <v>14.7</v>
      </c>
      <c r="H15" s="11">
        <v>9.5299999999999994</v>
      </c>
      <c r="I15" s="11">
        <v>10.88</v>
      </c>
      <c r="J15" s="24">
        <v>6.04</v>
      </c>
      <c r="K15" s="24">
        <v>6.04</v>
      </c>
      <c r="L15" s="11">
        <v>9.2200000000000006</v>
      </c>
      <c r="M15" s="11">
        <v>15.68</v>
      </c>
      <c r="N15" s="11">
        <v>11.43</v>
      </c>
      <c r="O15" s="11">
        <v>14.39</v>
      </c>
      <c r="P15" s="11">
        <v>10.85</v>
      </c>
      <c r="Q15" s="11">
        <v>11.38</v>
      </c>
      <c r="R15" s="11">
        <v>9.94</v>
      </c>
      <c r="S15" s="11">
        <v>9.0399999999999991</v>
      </c>
      <c r="T15" s="11">
        <v>7.69</v>
      </c>
      <c r="U15" s="11">
        <v>7.18</v>
      </c>
      <c r="V15" s="11">
        <v>12.53</v>
      </c>
      <c r="W15" s="11">
        <v>13.63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1">
      <c r="A16" s="1" t="s">
        <v>16</v>
      </c>
      <c r="B16" s="19">
        <f t="shared" ref="B16:Q16" si="0">SUM(B13:B15)</f>
        <v>75.701999999999998</v>
      </c>
      <c r="C16" s="19">
        <f t="shared" si="0"/>
        <v>72.39</v>
      </c>
      <c r="D16" s="19">
        <f t="shared" si="0"/>
        <v>71.47</v>
      </c>
      <c r="E16" s="19">
        <f t="shared" si="0"/>
        <v>61.83</v>
      </c>
      <c r="F16" s="19">
        <f t="shared" si="0"/>
        <v>76.17</v>
      </c>
      <c r="G16" s="19">
        <f t="shared" si="0"/>
        <v>77.489999999999995</v>
      </c>
      <c r="H16" s="19">
        <f t="shared" si="0"/>
        <v>68.34</v>
      </c>
      <c r="I16" s="19">
        <f t="shared" si="0"/>
        <v>71.09</v>
      </c>
      <c r="J16" s="19">
        <f t="shared" si="0"/>
        <v>61.629999999999995</v>
      </c>
      <c r="K16" s="19">
        <f t="shared" si="0"/>
        <v>62.72</v>
      </c>
      <c r="L16" s="19">
        <f t="shared" si="0"/>
        <v>68.67</v>
      </c>
      <c r="M16" s="19">
        <f t="shared" si="0"/>
        <v>78.72</v>
      </c>
      <c r="N16" s="19">
        <f t="shared" si="0"/>
        <v>79.69</v>
      </c>
      <c r="O16" s="19">
        <f t="shared" si="0"/>
        <v>76.45</v>
      </c>
      <c r="P16" s="19">
        <f t="shared" si="0"/>
        <v>72.14</v>
      </c>
      <c r="Q16" s="19">
        <f t="shared" si="0"/>
        <v>72.239999999999995</v>
      </c>
      <c r="R16" s="19">
        <f t="shared" ref="R16:W16" si="1">SUM(R13:R15)</f>
        <v>68.48</v>
      </c>
      <c r="S16" s="19">
        <f t="shared" si="1"/>
        <v>68.680000000000007</v>
      </c>
      <c r="T16" s="19">
        <f t="shared" si="1"/>
        <v>66.11</v>
      </c>
      <c r="U16" s="19">
        <f t="shared" si="1"/>
        <v>62.72</v>
      </c>
      <c r="V16" s="19">
        <f t="shared" si="1"/>
        <v>72.2</v>
      </c>
      <c r="W16" s="19">
        <f t="shared" si="1"/>
        <v>74.510000000000005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s="5" customFormat="1" hidden="1">
      <c r="A17" s="5" t="s">
        <v>18</v>
      </c>
      <c r="B17" s="26">
        <f t="shared" ref="B17:Q17" si="2">B13/60.09*(23/((B6/56.08)+(B7/79.9*2)+(B10/71.85)+(B9/70.94)+(B8/152.02*3)+(B13/60.09*2)+(B14/101.94*3)+(B15/40.32)+(B11/74.71)+(B5/94.2)+(B12/61.982)))</f>
        <v>7.8950344880443959</v>
      </c>
      <c r="C17" s="26">
        <f t="shared" si="2"/>
        <v>6.5675511537843976</v>
      </c>
      <c r="D17" s="26">
        <f t="shared" si="2"/>
        <v>6.4164310257238419</v>
      </c>
      <c r="E17" s="26">
        <f t="shared" si="2"/>
        <v>6.7652342299132791</v>
      </c>
      <c r="F17" s="26">
        <f t="shared" si="2"/>
        <v>6.9651365083745285</v>
      </c>
      <c r="G17" s="26">
        <f t="shared" si="2"/>
        <v>6.9573379262813244</v>
      </c>
      <c r="H17" s="26">
        <f t="shared" si="2"/>
        <v>6.5016879600205604</v>
      </c>
      <c r="I17" s="26">
        <f t="shared" si="2"/>
        <v>6.638025839242446</v>
      </c>
      <c r="J17" s="26">
        <f t="shared" si="2"/>
        <v>6.01526301360503</v>
      </c>
      <c r="K17" s="26">
        <f t="shared" si="2"/>
        <v>5.8688662611485647</v>
      </c>
      <c r="L17" s="26">
        <f t="shared" si="2"/>
        <v>6.0972601770621973</v>
      </c>
      <c r="M17" s="26">
        <f t="shared" si="2"/>
        <v>6.960895726647804</v>
      </c>
      <c r="N17" s="26">
        <f t="shared" si="2"/>
        <v>7.6407040640956119</v>
      </c>
      <c r="O17" s="26">
        <f t="shared" si="2"/>
        <v>6.7762248175658826</v>
      </c>
      <c r="P17" s="26">
        <f t="shared" si="2"/>
        <v>6.4023093249969598</v>
      </c>
      <c r="Q17" s="26">
        <f t="shared" si="2"/>
        <v>6.4484549807029738</v>
      </c>
      <c r="R17" s="26">
        <f t="shared" ref="R17:W17" si="3">R13/60.09*(23/((R6/56.08)+(R7/79.9*2)+(R10/71.85)+(R9/70.94)+(R8/152.02*3)+(R13/60.09*2)+(R14/101.94*3)+(R15/40.32)+(R11/74.71)+(R5/94.2)+(R12/61.982)))</f>
        <v>6.065571610840812</v>
      </c>
      <c r="S17" s="26">
        <f t="shared" si="3"/>
        <v>6.5637793900565331</v>
      </c>
      <c r="T17" s="26">
        <f t="shared" si="3"/>
        <v>5.9445829669880368</v>
      </c>
      <c r="U17" s="26">
        <f t="shared" si="3"/>
        <v>6.1155575967293938</v>
      </c>
      <c r="V17" s="26">
        <f t="shared" si="3"/>
        <v>6.9440404966965339</v>
      </c>
      <c r="W17" s="26">
        <f t="shared" si="3"/>
        <v>7.1083053448417726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s="5" customFormat="1" hidden="1">
      <c r="A18" s="5" t="s">
        <v>19</v>
      </c>
      <c r="B18" s="26">
        <f t="shared" ref="B18:Q18" si="4">(B14/101.94*(23/((B6/56.08)+(B7/79.9*2)+(B10/71.85)+(B9/70.94)+(B8/152.02*3)+(B13/60.09*2)+(B14/101.94*3)+(B15/40.32)+(B11/74.71)+(B5/94.2)+(B12/61.982)))*2)</f>
        <v>1.7939669254202846</v>
      </c>
      <c r="C18" s="26">
        <f t="shared" si="4"/>
        <v>2.5700548000568793</v>
      </c>
      <c r="D18" s="26">
        <f t="shared" si="4"/>
        <v>2.7462218761894475</v>
      </c>
      <c r="E18" s="26">
        <f t="shared" si="4"/>
        <v>1.690774628170657</v>
      </c>
      <c r="F18" s="26">
        <f t="shared" si="4"/>
        <v>2.216173411815761</v>
      </c>
      <c r="G18" s="26">
        <f t="shared" si="4"/>
        <v>2.2063735016152126</v>
      </c>
      <c r="H18" s="26">
        <f t="shared" si="4"/>
        <v>2.7001199043500566</v>
      </c>
      <c r="I18" s="26">
        <f t="shared" si="4"/>
        <v>2.5459988683599626</v>
      </c>
      <c r="J18" s="26">
        <f t="shared" si="4"/>
        <v>3.2881118882026432</v>
      </c>
      <c r="K18" s="26">
        <f t="shared" si="4"/>
        <v>3.4393850000751889</v>
      </c>
      <c r="L18" s="26">
        <f t="shared" si="4"/>
        <v>3.2806670158258568</v>
      </c>
      <c r="M18" s="26">
        <f t="shared" si="4"/>
        <v>2.0459079667434232</v>
      </c>
      <c r="N18" s="26">
        <f t="shared" si="4"/>
        <v>1.4795421513903668</v>
      </c>
      <c r="O18" s="26">
        <f t="shared" si="4"/>
        <v>2.2822454194612063</v>
      </c>
      <c r="P18" s="26">
        <f t="shared" si="4"/>
        <v>3.0357240254329354</v>
      </c>
      <c r="Q18" s="26">
        <f t="shared" si="4"/>
        <v>2.8089392401978812</v>
      </c>
      <c r="R18" s="26">
        <f t="shared" ref="R18:W18" si="5">(R14/101.94*(23/((R6/56.08)+(R7/79.9*2)+(R10/71.85)+(R9/70.94)+(R8/152.02*3)+(R13/60.09*2)+(R14/101.94*3)+(R15/40.32)+(R11/74.71)+(R5/94.2)+(R12/61.982)))*2)</f>
        <v>3.1877828829632811</v>
      </c>
      <c r="S18" s="26">
        <f t="shared" si="5"/>
        <v>2.6280775831410068</v>
      </c>
      <c r="T18" s="26">
        <f t="shared" si="5"/>
        <v>3.3910838490033148</v>
      </c>
      <c r="U18" s="26">
        <f t="shared" si="5"/>
        <v>2.9457263154941882</v>
      </c>
      <c r="V18" s="26">
        <f t="shared" si="5"/>
        <v>2.2046683621022214</v>
      </c>
      <c r="W18" s="26">
        <f t="shared" si="5"/>
        <v>2.0424027806564888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5" customFormat="1" hidden="1">
      <c r="A19" s="5" t="s">
        <v>20</v>
      </c>
      <c r="B19" s="26">
        <f t="shared" ref="B19:Q19" si="6">B7/79.9*(23/((B6/56.08)+(B7/79.9*2)+(B10/71.85)+(B9/70.94)+(B8/152.02*3)+(B13/60.09*2)+(B14/101.94*3)+(B15/40.32)+(B11/74.71)+(B5/94.2)+(B12/61.982)))</f>
        <v>4.574242680317411E-3</v>
      </c>
      <c r="C19" s="26">
        <f t="shared" si="6"/>
        <v>4.1478582082781296E-2</v>
      </c>
      <c r="D19" s="26">
        <f t="shared" si="6"/>
        <v>6.2216173290401459E-2</v>
      </c>
      <c r="E19" s="26">
        <f t="shared" si="6"/>
        <v>1.6236733540178145E-2</v>
      </c>
      <c r="F19" s="26">
        <f t="shared" si="6"/>
        <v>3.3126339167418542E-2</v>
      </c>
      <c r="G19" s="26">
        <f t="shared" si="6"/>
        <v>2.3264381588003057E-2</v>
      </c>
      <c r="H19" s="26">
        <f t="shared" si="6"/>
        <v>7.5329822135342145E-2</v>
      </c>
      <c r="I19" s="26">
        <f t="shared" si="6"/>
        <v>3.7362036772034465E-2</v>
      </c>
      <c r="J19" s="26">
        <f t="shared" si="6"/>
        <v>1.0720069354688807E-2</v>
      </c>
      <c r="K19" s="26">
        <f t="shared" si="6"/>
        <v>6.9948801618587658E-2</v>
      </c>
      <c r="L19" s="26">
        <f t="shared" si="6"/>
        <v>1.1233553334357421E-2</v>
      </c>
      <c r="M19" s="26">
        <f t="shared" si="6"/>
        <v>2.0749292948640547E-2</v>
      </c>
      <c r="N19" s="26">
        <f t="shared" si="6"/>
        <v>0</v>
      </c>
      <c r="O19" s="26">
        <f t="shared" si="6"/>
        <v>3.1672853130391691E-2</v>
      </c>
      <c r="P19" s="26">
        <f t="shared" si="6"/>
        <v>4.406271593083981E-2</v>
      </c>
      <c r="Q19" s="26">
        <f t="shared" si="6"/>
        <v>5.7837953294716422E-2</v>
      </c>
      <c r="R19" s="26">
        <f t="shared" ref="R19:W19" si="7">R7/79.9*(23/((R6/56.08)+(R7/79.9*2)+(R10/71.85)+(R9/70.94)+(R8/152.02*3)+(R13/60.09*2)+(R14/101.94*3)+(R15/40.32)+(R11/74.71)+(R5/94.2)+(R12/61.982)))</f>
        <v>5.1824749794953995E-2</v>
      </c>
      <c r="S19" s="26">
        <f t="shared" si="7"/>
        <v>8.8704209900402689E-3</v>
      </c>
      <c r="T19" s="26">
        <f t="shared" si="7"/>
        <v>1.3626761308619943E-2</v>
      </c>
      <c r="U19" s="26">
        <f t="shared" si="7"/>
        <v>4.7824293730992798E-2</v>
      </c>
      <c r="V19" s="26">
        <f t="shared" si="7"/>
        <v>2.777265678077806E-2</v>
      </c>
      <c r="W19" s="26">
        <f t="shared" si="7"/>
        <v>2.8395018217255978E-2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s="5" customFormat="1" hidden="1">
      <c r="A20" s="5" t="s">
        <v>21</v>
      </c>
      <c r="B20" s="26">
        <f t="shared" ref="B20:Q20" si="8">B8/152.02*(23/((B6/56.08)+(B7/79.9*2)+(B10/71.85)+(B9/70.94)+(B8/152.02*3)+(B13/60.09*2)+(B14/101.94*3)+(B15/40.32)+(B11/74.71)+(B5/94.2)+(B12/61.982)))*2</f>
        <v>8.0511754240812881E-3</v>
      </c>
      <c r="C20" s="26">
        <f t="shared" si="8"/>
        <v>6.8844238813748028E-3</v>
      </c>
      <c r="D20" s="26">
        <f t="shared" si="8"/>
        <v>5.7368631619374609E-3</v>
      </c>
      <c r="E20" s="26">
        <f t="shared" si="8"/>
        <v>0</v>
      </c>
      <c r="F20" s="26">
        <f t="shared" si="8"/>
        <v>5.6163970349333101E-3</v>
      </c>
      <c r="G20" s="26">
        <f t="shared" si="8"/>
        <v>5.5579531666929112E-3</v>
      </c>
      <c r="H20" s="26">
        <f t="shared" si="8"/>
        <v>0</v>
      </c>
      <c r="I20" s="26">
        <f t="shared" si="8"/>
        <v>3.4653645473338109E-3</v>
      </c>
      <c r="J20" s="26">
        <f t="shared" si="8"/>
        <v>0</v>
      </c>
      <c r="K20" s="26">
        <f t="shared" si="8"/>
        <v>4.9019069853310131E-3</v>
      </c>
      <c r="L20" s="26">
        <f t="shared" si="8"/>
        <v>3.5425374743395257E-3</v>
      </c>
      <c r="M20" s="26">
        <f t="shared" si="8"/>
        <v>1.0905594701989077E-2</v>
      </c>
      <c r="N20" s="26">
        <f t="shared" si="8"/>
        <v>1.6484088559996706E-2</v>
      </c>
      <c r="O20" s="26">
        <f t="shared" si="8"/>
        <v>4.3281926781394357E-2</v>
      </c>
      <c r="P20" s="26">
        <f t="shared" si="8"/>
        <v>0</v>
      </c>
      <c r="Q20" s="26">
        <f t="shared" si="8"/>
        <v>1.147131203751205E-2</v>
      </c>
      <c r="R20" s="26">
        <f t="shared" ref="R20:W20" si="9">R8/152.02*(23/((R6/56.08)+(R7/79.9*2)+(R10/71.85)+(R9/70.94)+(R8/152.02*3)+(R13/60.09*2)+(R14/101.94*3)+(R15/40.32)+(R11/74.71)+(R5/94.2)+(R12/61.982)))*2</f>
        <v>7.1056969196561506E-3</v>
      </c>
      <c r="S20" s="26">
        <f t="shared" si="9"/>
        <v>4.6621933765571468E-3</v>
      </c>
      <c r="T20" s="26">
        <f t="shared" si="9"/>
        <v>2.3873574278795188E-3</v>
      </c>
      <c r="U20" s="26">
        <f t="shared" si="9"/>
        <v>0</v>
      </c>
      <c r="V20" s="26">
        <f t="shared" si="9"/>
        <v>1.1677596509849581E-2</v>
      </c>
      <c r="W20" s="26">
        <f t="shared" si="9"/>
        <v>6.888046984380859E-3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s="5" customFormat="1" hidden="1">
      <c r="A21" s="5" t="s">
        <v>22</v>
      </c>
      <c r="B21" s="26">
        <f t="shared" ref="B21:Q21" si="10">B10/71.85*(23/((B6/56.08)+(B7/79.9*2)+(B10/71.85)+(B9/70.94)+(B8/152.02*3)+(B13/60.09*2)+(B14/101.94*3)+(B15/40.32)+(B11/74.71)+(B5/94.2)+(B12/61.982)))</f>
        <v>1.4658080756226193</v>
      </c>
      <c r="C21" s="26">
        <f t="shared" si="10"/>
        <v>1.360711091137365</v>
      </c>
      <c r="D21" s="26">
        <f t="shared" si="10"/>
        <v>1.4784128717259273</v>
      </c>
      <c r="E21" s="26">
        <f t="shared" si="10"/>
        <v>2.6000467838534957</v>
      </c>
      <c r="F21" s="26">
        <f t="shared" si="10"/>
        <v>0.91737955579322727</v>
      </c>
      <c r="G21" s="26">
        <f t="shared" si="10"/>
        <v>0.78083076802510221</v>
      </c>
      <c r="H21" s="26">
        <f t="shared" si="10"/>
        <v>1.6716430744766149</v>
      </c>
      <c r="I21" s="26">
        <f t="shared" si="10"/>
        <v>1.5348335105961994</v>
      </c>
      <c r="J21" s="26">
        <f t="shared" si="10"/>
        <v>2.3882006884955751</v>
      </c>
      <c r="K21" s="26">
        <f t="shared" si="10"/>
        <v>2.3193130705271869</v>
      </c>
      <c r="L21" s="26">
        <f t="shared" si="10"/>
        <v>1.6277270251551159</v>
      </c>
      <c r="M21" s="26">
        <f t="shared" si="10"/>
        <v>0.86989064298794039</v>
      </c>
      <c r="N21" s="26">
        <f t="shared" si="10"/>
        <v>0.31389283627023373</v>
      </c>
      <c r="O21" s="26">
        <f t="shared" si="10"/>
        <v>0.93336834482442399</v>
      </c>
      <c r="P21" s="26">
        <f t="shared" si="10"/>
        <v>1.2629610104256084</v>
      </c>
      <c r="Q21" s="26">
        <f t="shared" si="10"/>
        <v>1.3555334113346307</v>
      </c>
      <c r="R21" s="26">
        <f t="shared" ref="R21:W21" si="11">R10/71.85*(23/((R6/56.08)+(R7/79.9*2)+(R10/71.85)+(R9/70.94)+(R8/152.02*3)+(R13/60.09*2)+(R14/101.94*3)+(R15/40.32)+(R11/74.71)+(R5/94.2)+(R12/61.982)))</f>
        <v>1.6349704241157472</v>
      </c>
      <c r="S21" s="26">
        <f t="shared" si="11"/>
        <v>1.9999774623922075</v>
      </c>
      <c r="T21" s="26">
        <f t="shared" si="11"/>
        <v>2.0507722607044574</v>
      </c>
      <c r="U21" s="26">
        <f t="shared" si="11"/>
        <v>2.4334226676998041</v>
      </c>
      <c r="V21" s="26">
        <f t="shared" si="11"/>
        <v>1.1600134307030385</v>
      </c>
      <c r="W21" s="26">
        <f t="shared" si="11"/>
        <v>0.94850548005534285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s="5" customFormat="1" hidden="1">
      <c r="A22" s="5" t="s">
        <v>23</v>
      </c>
      <c r="B22" s="26">
        <f t="shared" ref="B22:Q22" si="12">B9/70.94*(23/((B6/56.08)+(B7/79.9*2)+(B10/71.85)+(B9/70.94)+(B8/152.02*3)+(B13/60.09*2)+(B14/101.94*3)+(B15/40.32)+(B11/74.71)+(B5/94.2)+(B12/61.982)))</f>
        <v>2.0368322502065752E-3</v>
      </c>
      <c r="C22" s="26">
        <f t="shared" si="12"/>
        <v>4.917630478557455E-3</v>
      </c>
      <c r="D22" s="26">
        <f t="shared" si="12"/>
        <v>9.834992251229014E-3</v>
      </c>
      <c r="E22" s="26">
        <f t="shared" si="12"/>
        <v>2.8737494680540036E-2</v>
      </c>
      <c r="F22" s="26">
        <f t="shared" si="12"/>
        <v>1.2035588909649871E-3</v>
      </c>
      <c r="G22" s="26">
        <f t="shared" si="12"/>
        <v>0</v>
      </c>
      <c r="H22" s="26">
        <f t="shared" si="12"/>
        <v>1.8994986688184581E-2</v>
      </c>
      <c r="I22" s="26">
        <f t="shared" si="12"/>
        <v>1.7327474059767888E-2</v>
      </c>
      <c r="J22" s="26">
        <f t="shared" si="12"/>
        <v>2.8172797622767833E-2</v>
      </c>
      <c r="K22" s="26">
        <f t="shared" si="12"/>
        <v>5.2522406252468326E-3</v>
      </c>
      <c r="L22" s="26">
        <f t="shared" si="12"/>
        <v>1.3917634656846261E-2</v>
      </c>
      <c r="M22" s="26">
        <f t="shared" si="12"/>
        <v>4.6740019920957984E-3</v>
      </c>
      <c r="N22" s="26">
        <f t="shared" si="12"/>
        <v>0</v>
      </c>
      <c r="O22" s="26">
        <f t="shared" si="12"/>
        <v>7.1346517200966911E-3</v>
      </c>
      <c r="P22" s="26">
        <f t="shared" si="12"/>
        <v>8.6849016845639646E-3</v>
      </c>
      <c r="Q22" s="26">
        <f t="shared" si="12"/>
        <v>0</v>
      </c>
      <c r="R22" s="26">
        <f t="shared" ref="R22:W22" si="13">R9/70.94*(23/((R6/56.08)+(R7/79.9*2)+(R10/71.85)+(R9/70.94)+(R8/152.02*3)+(R13/60.09*2)+(R14/101.94*3)+(R15/40.32)+(R11/74.71)+(R5/94.2)+(R12/61.982)))</f>
        <v>1.2689221475027347E-3</v>
      </c>
      <c r="S22" s="26">
        <f t="shared" si="13"/>
        <v>1.3737336143477575E-2</v>
      </c>
      <c r="T22" s="26">
        <f t="shared" si="13"/>
        <v>2.4300801548980285E-2</v>
      </c>
      <c r="U22" s="26">
        <f t="shared" si="13"/>
        <v>3.153054991801791E-2</v>
      </c>
      <c r="V22" s="26">
        <f t="shared" si="13"/>
        <v>1.2512180867122454E-3</v>
      </c>
      <c r="W22" s="26">
        <f t="shared" si="13"/>
        <v>6.1502731331969408E-3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5" customFormat="1" hidden="1">
      <c r="A23" s="5" t="s">
        <v>24</v>
      </c>
      <c r="B23" s="26">
        <f t="shared" ref="B23:Q23" si="14">B15/40.32*(23/((B6/56.08)+(B7/79.9*2)+(B10/71.85)+(B9/70.94)+(B8/152.02*3)+(B13/60.09*2)+(B14/101.94*3)+(B15/40.32)+(B11/74.71)+(B5/94.2)+(B12/61.982)))</f>
        <v>1.9242107362936007</v>
      </c>
      <c r="C23" s="26">
        <f t="shared" si="14"/>
        <v>2.6216166161484709</v>
      </c>
      <c r="D23" s="26">
        <f t="shared" si="14"/>
        <v>2.4247128183555025</v>
      </c>
      <c r="E23" s="26">
        <f t="shared" si="14"/>
        <v>1.990282735506949</v>
      </c>
      <c r="F23" s="26">
        <f t="shared" si="14"/>
        <v>2.9476590047936062</v>
      </c>
      <c r="G23" s="26">
        <f t="shared" si="14"/>
        <v>3.08043764729406</v>
      </c>
      <c r="H23" s="26">
        <f t="shared" si="14"/>
        <v>2.1232996874070817</v>
      </c>
      <c r="I23" s="26">
        <f t="shared" si="14"/>
        <v>2.3692275699091701</v>
      </c>
      <c r="J23" s="26">
        <f t="shared" si="14"/>
        <v>1.4256676009411926</v>
      </c>
      <c r="K23" s="26">
        <f t="shared" si="14"/>
        <v>1.3953791280557182</v>
      </c>
      <c r="L23" s="26">
        <f t="shared" si="14"/>
        <v>2.0524582349324794</v>
      </c>
      <c r="M23" s="26">
        <f t="shared" si="14"/>
        <v>3.2236332072707383</v>
      </c>
      <c r="N23" s="26">
        <f t="shared" si="14"/>
        <v>2.2199408143632731</v>
      </c>
      <c r="O23" s="26">
        <f t="shared" si="14"/>
        <v>3.0105994781789258</v>
      </c>
      <c r="P23" s="26">
        <f t="shared" si="14"/>
        <v>2.3684666034960311</v>
      </c>
      <c r="Q23" s="26">
        <f t="shared" si="14"/>
        <v>2.4609657218038916</v>
      </c>
      <c r="R23" s="26">
        <f t="shared" ref="R23:W23" si="15">R15/40.32*(23/((R6/56.08)+(R7/79.9*2)+(R10/71.85)+(R9/70.94)+(R8/152.02*3)+(R13/60.09*2)+(R14/101.94*3)+(R15/40.32)+(R11/74.71)+(R5/94.2)+(R12/61.982)))</f>
        <v>2.2191774087544873</v>
      </c>
      <c r="S23" s="26">
        <f t="shared" si="15"/>
        <v>1.986318700217673</v>
      </c>
      <c r="T23" s="26">
        <f t="shared" si="15"/>
        <v>1.7304696961013273</v>
      </c>
      <c r="U23" s="26">
        <f t="shared" si="15"/>
        <v>1.6596457895484544</v>
      </c>
      <c r="V23" s="26">
        <f t="shared" si="15"/>
        <v>2.7583841287803188</v>
      </c>
      <c r="W23" s="26">
        <f t="shared" si="15"/>
        <v>2.9497887528870765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s="5" customFormat="1" hidden="1">
      <c r="A24" s="5" t="s">
        <v>25</v>
      </c>
      <c r="B24" s="26">
        <f t="shared" ref="B24:Q24" si="16">B11/74.71*(23/((B6/56.08)+(B7/79.9*2)+(B10/71.85)+(B9/70.94)+(B8/152.02*3)+(B13/60.09*2)+(B14/101.94*3)+(B15/40.32)+(B11/74.71)+(B5/94.2)+(B12/61.982)))</f>
        <v>0</v>
      </c>
      <c r="C24" s="26">
        <f t="shared" si="16"/>
        <v>0</v>
      </c>
      <c r="D24" s="26">
        <f t="shared" si="16"/>
        <v>0</v>
      </c>
      <c r="E24" s="26">
        <f t="shared" si="16"/>
        <v>0</v>
      </c>
      <c r="F24" s="26">
        <f t="shared" si="16"/>
        <v>0</v>
      </c>
      <c r="G24" s="26">
        <f t="shared" si="16"/>
        <v>0</v>
      </c>
      <c r="H24" s="26">
        <f t="shared" si="16"/>
        <v>0</v>
      </c>
      <c r="I24" s="26">
        <f t="shared" si="16"/>
        <v>0</v>
      </c>
      <c r="J24" s="26">
        <f t="shared" si="16"/>
        <v>0</v>
      </c>
      <c r="K24" s="26">
        <f t="shared" si="16"/>
        <v>1.1221207166360237E-2</v>
      </c>
      <c r="L24" s="26">
        <f t="shared" si="16"/>
        <v>0</v>
      </c>
      <c r="M24" s="26">
        <f t="shared" si="16"/>
        <v>5.5476793822660285E-3</v>
      </c>
      <c r="N24" s="26">
        <f t="shared" si="16"/>
        <v>2.0963652313032892E-3</v>
      </c>
      <c r="O24" s="26">
        <f t="shared" si="16"/>
        <v>1.5807457061373379E-2</v>
      </c>
      <c r="P24" s="26">
        <f t="shared" si="16"/>
        <v>0</v>
      </c>
      <c r="Q24" s="26">
        <f t="shared" si="16"/>
        <v>0</v>
      </c>
      <c r="R24" s="26">
        <f t="shared" ref="R24:W24" si="17">R11/74.71*(23/((R6/56.08)+(R7/79.9*2)+(R10/71.85)+(R9/70.94)+(R8/152.02*3)+(R13/60.09*2)+(R14/101.94*3)+(R15/40.32)+(R11/74.71)+(R5/94.2)+(R12/61.982)))</f>
        <v>9.6391205615145512E-3</v>
      </c>
      <c r="S24" s="26">
        <f t="shared" si="17"/>
        <v>4.7433184118874155E-3</v>
      </c>
      <c r="T24" s="26">
        <f t="shared" si="17"/>
        <v>0</v>
      </c>
      <c r="U24" s="26">
        <f t="shared" si="17"/>
        <v>0</v>
      </c>
      <c r="V24" s="26">
        <f t="shared" si="17"/>
        <v>2.3761587758363454E-3</v>
      </c>
      <c r="W24" s="26">
        <f t="shared" si="17"/>
        <v>1.16798387382945E-2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s="5" customFormat="1" hidden="1">
      <c r="A25" s="5" t="s">
        <v>26</v>
      </c>
      <c r="B25" s="26">
        <f t="shared" ref="B25:Q25" si="18">B6/56.08*(23/((B6/56.08)+(B7/79.9*2)+(B10/71.85)+(B9/70.94)+(B8/152.02*3)+(B13/60.09*2)+(B14/101.94*3)+(B15/40.32)+(B11/74.71)+(B5/94.2)+(B12/61.982)))</f>
        <v>0.19642398701354385</v>
      </c>
      <c r="C25" s="26">
        <f t="shared" si="18"/>
        <v>1.2892395212081391</v>
      </c>
      <c r="D25" s="26">
        <f t="shared" si="18"/>
        <v>1.276763243576353</v>
      </c>
      <c r="E25" s="26">
        <f t="shared" si="18"/>
        <v>1.9531107877200893</v>
      </c>
      <c r="F25" s="26">
        <f t="shared" si="18"/>
        <v>1.1844865172983901</v>
      </c>
      <c r="G25" s="26">
        <f t="shared" si="18"/>
        <v>1.2068133957933769</v>
      </c>
      <c r="H25" s="26">
        <f t="shared" si="18"/>
        <v>1.3455820955233524</v>
      </c>
      <c r="I25" s="26">
        <f t="shared" si="18"/>
        <v>1.2493763829992195</v>
      </c>
      <c r="J25" s="26">
        <f t="shared" si="18"/>
        <v>1.5731625315314279</v>
      </c>
      <c r="K25" s="26">
        <f t="shared" si="18"/>
        <v>1.6161461898458678</v>
      </c>
      <c r="L25" s="26">
        <f t="shared" si="18"/>
        <v>1.5236768681655319</v>
      </c>
      <c r="M25" s="26">
        <f t="shared" si="18"/>
        <v>1.3377059544130918</v>
      </c>
      <c r="N25" s="26">
        <f t="shared" si="18"/>
        <v>2.2412108730494231</v>
      </c>
      <c r="O25" s="26">
        <f t="shared" si="18"/>
        <v>1.4109367482649562</v>
      </c>
      <c r="P25" s="26">
        <f t="shared" si="18"/>
        <v>1.3732768489277989</v>
      </c>
      <c r="Q25" s="26">
        <f t="shared" si="18"/>
        <v>1.3666732563958004</v>
      </c>
      <c r="R25" s="26">
        <f t="shared" ref="R25:W25" si="19">R6/56.08*(23/((R6/56.08)+(R7/79.9*2)+(R10/71.85)+(R9/70.94)+(R8/152.02*3)+(R13/60.09*2)+(R14/101.94*3)+(R15/40.32)+(R11/74.71)+(R5/94.2)+(R12/61.982)))</f>
        <v>1.4157505592166622</v>
      </c>
      <c r="S25" s="26">
        <f t="shared" si="19"/>
        <v>1.1453310268824843</v>
      </c>
      <c r="T25" s="26">
        <f t="shared" si="19"/>
        <v>1.5014060213125664</v>
      </c>
      <c r="U25" s="26">
        <f t="shared" si="19"/>
        <v>1.457481584498733</v>
      </c>
      <c r="V25" s="26">
        <f t="shared" si="19"/>
        <v>1.1522522692573991</v>
      </c>
      <c r="W25" s="26">
        <f t="shared" si="19"/>
        <v>1.1031988824283687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s="5" customFormat="1" hidden="1">
      <c r="A26" s="5" t="s">
        <v>27</v>
      </c>
      <c r="B26" s="26">
        <f t="shared" ref="B26:Q26" si="20">B12/61.982*(23/((B6/56.08)+(B7/79.9*2)+(B10/71.85)+(B9/70.94)+(B8/152.02*3)+(B13/60.09*2)+(B14/101.94*3)+(B15/40.32)+(B11/74.71)+(B5/94.2)+(B12/61.982)))*2</f>
        <v>1.8136791408388107</v>
      </c>
      <c r="C26" s="26">
        <f t="shared" si="20"/>
        <v>1.1819545721542033</v>
      </c>
      <c r="D26" s="26">
        <f t="shared" si="20"/>
        <v>1.3704670250926265</v>
      </c>
      <c r="E26" s="26">
        <f t="shared" si="20"/>
        <v>0.55316353785694294</v>
      </c>
      <c r="F26" s="26">
        <f t="shared" si="20"/>
        <v>1.1984286876964099</v>
      </c>
      <c r="G26" s="26">
        <f t="shared" si="20"/>
        <v>1.2841061567187544</v>
      </c>
      <c r="H26" s="26">
        <f t="shared" si="20"/>
        <v>1.2725294701357563</v>
      </c>
      <c r="I26" s="26">
        <f t="shared" si="20"/>
        <v>1.2805638882015749</v>
      </c>
      <c r="J26" s="26">
        <f t="shared" si="20"/>
        <v>0.93662579508419608</v>
      </c>
      <c r="K26" s="26">
        <f t="shared" si="20"/>
        <v>0.910715746800427</v>
      </c>
      <c r="L26" s="26">
        <f t="shared" si="20"/>
        <v>1.2511577997849319</v>
      </c>
      <c r="M26" s="26">
        <f t="shared" si="20"/>
        <v>0.96023812375867235</v>
      </c>
      <c r="N26" s="26">
        <f t="shared" si="20"/>
        <v>1.3948232459380001</v>
      </c>
      <c r="O26" s="26">
        <f t="shared" si="20"/>
        <v>0.96628552656899869</v>
      </c>
      <c r="P26" s="26">
        <f t="shared" si="20"/>
        <v>1.0394498620986101</v>
      </c>
      <c r="Q26" s="26">
        <f t="shared" si="20"/>
        <v>1.0972683259940095</v>
      </c>
      <c r="R26" s="26">
        <f t="shared" ref="R26:W26" si="21">R12/61.982*(23/((R6/56.08)+(R7/79.9*2)+(R10/71.85)+(R9/70.94)+(R8/152.02*3)+(R13/60.09*2)+(R14/101.94*3)+(R15/40.32)+(R11/74.71)+(R5/94.2)+(R12/61.982)))*2</f>
        <v>1.353556810333042</v>
      </c>
      <c r="S26" s="26">
        <f t="shared" si="21"/>
        <v>1.486513226800495</v>
      </c>
      <c r="T26" s="26">
        <f t="shared" si="21"/>
        <v>1.3555126752462909</v>
      </c>
      <c r="U26" s="26">
        <f t="shared" si="21"/>
        <v>1.3352385662581887</v>
      </c>
      <c r="V26" s="26">
        <f t="shared" si="21"/>
        <v>1.2831180716973403</v>
      </c>
      <c r="W26" s="26">
        <f t="shared" si="21"/>
        <v>1.2388897774860832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s="5" customFormat="1" hidden="1">
      <c r="A27" s="5" t="s">
        <v>28</v>
      </c>
      <c r="B27" s="26">
        <f t="shared" ref="B27:Q27" si="22">B5/94.2*(23/((B6/56.08)+(B7/79.9*2)+(B10/71.85)+(B9/70.94)+(B8/152.02*3)+(B13/60.09*2)+(B14/101.94*3)+(B15/40.32)+(B11/74.71)+(B5/94.2)+(B12/61.982)))*2</f>
        <v>4.8723713693026973E-3</v>
      </c>
      <c r="C27" s="26">
        <f t="shared" si="22"/>
        <v>9.8139094617249956E-2</v>
      </c>
      <c r="D27" s="26">
        <f t="shared" si="22"/>
        <v>7.9620108978221901E-2</v>
      </c>
      <c r="E27" s="26">
        <f t="shared" si="22"/>
        <v>0.10427312029510524</v>
      </c>
      <c r="F27" s="26">
        <f t="shared" si="22"/>
        <v>4.1693222031343784E-2</v>
      </c>
      <c r="G27" s="26">
        <f t="shared" si="22"/>
        <v>2.1526625233137742E-2</v>
      </c>
      <c r="H27" s="26">
        <f t="shared" si="22"/>
        <v>0</v>
      </c>
      <c r="I27" s="26">
        <f t="shared" si="22"/>
        <v>2.7962033889898402E-2</v>
      </c>
      <c r="J27" s="26">
        <f t="shared" si="22"/>
        <v>0.26469897128707781</v>
      </c>
      <c r="K27" s="26">
        <f t="shared" si="22"/>
        <v>0.30653960850863377</v>
      </c>
      <c r="L27" s="26">
        <f t="shared" si="22"/>
        <v>2.6679092908306182E-2</v>
      </c>
      <c r="M27" s="26">
        <f t="shared" si="22"/>
        <v>5.9838141427045549E-2</v>
      </c>
      <c r="N27" s="26">
        <f t="shared" si="22"/>
        <v>0</v>
      </c>
      <c r="O27" s="26">
        <f t="shared" si="22"/>
        <v>6.9848391818551708E-2</v>
      </c>
      <c r="P27" s="26">
        <f t="shared" si="22"/>
        <v>4.1111168823370604E-2</v>
      </c>
      <c r="Q27" s="26">
        <f t="shared" si="22"/>
        <v>4.9983502240392483E-2</v>
      </c>
      <c r="R27" s="26">
        <f t="shared" ref="R27:W27" si="23">R5/94.2*(23/((R6/56.08)+(R7/79.9*2)+(R10/71.85)+(R9/70.94)+(R8/152.02*3)+(R13/60.09*2)+(R14/101.94*3)+(R15/40.32)+(R11/74.71)+(R5/94.2)+(R12/61.982)))*2</f>
        <v>3.0579137883259111E-2</v>
      </c>
      <c r="S27" s="26">
        <f t="shared" si="23"/>
        <v>2.4452511365060582E-2</v>
      </c>
      <c r="T27" s="26">
        <f t="shared" si="23"/>
        <v>1.7337232938833335E-2</v>
      </c>
      <c r="U27" s="26">
        <f t="shared" si="23"/>
        <v>9.8937420876866172E-3</v>
      </c>
      <c r="V27" s="26">
        <f t="shared" si="23"/>
        <v>3.2037027350599441E-2</v>
      </c>
      <c r="W27" s="26">
        <f t="shared" si="23"/>
        <v>2.7789832870636362E-2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hidden="1">
      <c r="A28" s="12" t="s">
        <v>38</v>
      </c>
      <c r="B28" s="26">
        <f t="shared" ref="B28:Q28" si="24">16/(B17+B18+B19+B20+B21+B22+B23+B24+B25+B26+B27)</f>
        <v>1.0589954466187699</v>
      </c>
      <c r="C28" s="26">
        <f t="shared" si="24"/>
        <v>1.0163539296728756</v>
      </c>
      <c r="D28" s="26">
        <f t="shared" si="24"/>
        <v>1.0081650659631705</v>
      </c>
      <c r="E28" s="26">
        <f t="shared" si="24"/>
        <v>1.0189875560910744</v>
      </c>
      <c r="F28" s="26">
        <f t="shared" si="24"/>
        <v>1.0315324511220005</v>
      </c>
      <c r="G28" s="26">
        <f t="shared" si="24"/>
        <v>1.027864880115771</v>
      </c>
      <c r="H28" s="26">
        <f t="shared" si="24"/>
        <v>1.0185122883348074</v>
      </c>
      <c r="I28" s="26">
        <f t="shared" si="24"/>
        <v>1.0188394254951942</v>
      </c>
      <c r="J28" s="26">
        <f t="shared" si="24"/>
        <v>1.0043549233651756</v>
      </c>
      <c r="K28" s="26">
        <f t="shared" si="24"/>
        <v>1.003281409848261</v>
      </c>
      <c r="L28" s="26">
        <f t="shared" si="24"/>
        <v>1.0070290667060271</v>
      </c>
      <c r="M28" s="26">
        <f t="shared" si="24"/>
        <v>1.0322589747505246</v>
      </c>
      <c r="N28" s="26">
        <f t="shared" si="24"/>
        <v>1.0451577085074764</v>
      </c>
      <c r="O28" s="26">
        <f t="shared" si="24"/>
        <v>1.0291106050630199</v>
      </c>
      <c r="P28" s="26">
        <f t="shared" si="24"/>
        <v>1.0272183021039751</v>
      </c>
      <c r="Q28" s="26">
        <f t="shared" si="24"/>
        <v>1.0218987992229607</v>
      </c>
      <c r="R28" s="26">
        <f t="shared" ref="R28:W28" si="25">16/(R17+R18+R19+R20+R21+R22+R23+R24+R25+R26+R27)</f>
        <v>1.0014253209275894</v>
      </c>
      <c r="S28" s="26">
        <f t="shared" si="25"/>
        <v>1.008416294721368</v>
      </c>
      <c r="T28" s="26">
        <f t="shared" si="25"/>
        <v>0.99803638695108543</v>
      </c>
      <c r="U28" s="26">
        <f t="shared" si="25"/>
        <v>0.99773507241932513</v>
      </c>
      <c r="V28" s="26">
        <f t="shared" si="25"/>
        <v>1.0271164246101245</v>
      </c>
      <c r="W28" s="26">
        <f t="shared" si="25"/>
        <v>1.034126562531976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hidden="1">
      <c r="A29" s="12" t="s">
        <v>39</v>
      </c>
      <c r="B29" s="26">
        <f t="shared" ref="B29:Q29" si="26">8/B17</f>
        <v>1.0132951302637823</v>
      </c>
      <c r="C29" s="26">
        <f t="shared" si="26"/>
        <v>1.2181100402073286</v>
      </c>
      <c r="D29" s="26">
        <f t="shared" si="26"/>
        <v>1.2467990332830725</v>
      </c>
      <c r="E29" s="26">
        <f t="shared" si="26"/>
        <v>1.1825163369254916</v>
      </c>
      <c r="F29" s="26">
        <f t="shared" si="26"/>
        <v>1.1485776323811032</v>
      </c>
      <c r="G29" s="26">
        <f t="shared" si="26"/>
        <v>1.1498650898902039</v>
      </c>
      <c r="H29" s="26">
        <f t="shared" si="26"/>
        <v>1.2304497000152406</v>
      </c>
      <c r="I29" s="26">
        <f t="shared" si="26"/>
        <v>1.2051775925164201</v>
      </c>
      <c r="J29" s="26">
        <f t="shared" si="26"/>
        <v>1.3299501587721083</v>
      </c>
      <c r="K29" s="26">
        <f t="shared" si="26"/>
        <v>1.3631252858766563</v>
      </c>
      <c r="L29" s="26">
        <f t="shared" si="26"/>
        <v>1.3120647254148481</v>
      </c>
      <c r="M29" s="26">
        <f t="shared" si="26"/>
        <v>1.1492773795438829</v>
      </c>
      <c r="N29" s="26">
        <f t="shared" si="26"/>
        <v>1.04702393037217</v>
      </c>
      <c r="O29" s="26">
        <f t="shared" si="26"/>
        <v>1.1805983737820722</v>
      </c>
      <c r="P29" s="26">
        <f t="shared" si="26"/>
        <v>1.2495491226525202</v>
      </c>
      <c r="Q29" s="26">
        <f t="shared" si="26"/>
        <v>1.2406072499443712</v>
      </c>
      <c r="R29" s="26">
        <f t="shared" ref="R29:W29" si="27">8/R17</f>
        <v>1.3189193885209174</v>
      </c>
      <c r="S29" s="26">
        <f t="shared" si="27"/>
        <v>1.2188100063386038</v>
      </c>
      <c r="T29" s="26">
        <f t="shared" si="27"/>
        <v>1.3457630323987873</v>
      </c>
      <c r="U29" s="26">
        <f t="shared" si="27"/>
        <v>1.3081390982693726</v>
      </c>
      <c r="V29" s="26">
        <f t="shared" si="27"/>
        <v>1.1520670139821065</v>
      </c>
      <c r="W29" s="26">
        <f t="shared" si="27"/>
        <v>1.1254440561990344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hidden="1">
      <c r="A30" s="12" t="s">
        <v>40</v>
      </c>
      <c r="B30" s="26">
        <f t="shared" ref="B30:Q30" si="28">15/(B17+B18+B19+B20+B21+B22+B23+B24+B25)</f>
        <v>1.1286591301614946</v>
      </c>
      <c r="C30" s="26">
        <f t="shared" si="28"/>
        <v>1.037168393963968</v>
      </c>
      <c r="D30" s="26">
        <f t="shared" si="28"/>
        <v>1.0401981189876559</v>
      </c>
      <c r="E30" s="26">
        <f t="shared" si="28"/>
        <v>0.99704718537735904</v>
      </c>
      <c r="F30" s="26">
        <f t="shared" si="28"/>
        <v>1.0510987234581357</v>
      </c>
      <c r="G30" s="26">
        <f t="shared" si="28"/>
        <v>1.0518480021014325</v>
      </c>
      <c r="H30" s="26">
        <f t="shared" si="28"/>
        <v>1.0390216688457627</v>
      </c>
      <c r="I30" s="26">
        <f t="shared" si="28"/>
        <v>1.0419838171272691</v>
      </c>
      <c r="J30" s="26">
        <f t="shared" si="28"/>
        <v>1.0183784318443372</v>
      </c>
      <c r="K30" s="26">
        <f t="shared" si="28"/>
        <v>1.0183013320264811</v>
      </c>
      <c r="L30" s="26">
        <f t="shared" si="28"/>
        <v>1.0266601009802849</v>
      </c>
      <c r="M30" s="26">
        <f t="shared" si="28"/>
        <v>1.0359180361274583</v>
      </c>
      <c r="N30" s="26">
        <f t="shared" si="28"/>
        <v>1.0780608640095304</v>
      </c>
      <c r="O30" s="26">
        <f t="shared" si="28"/>
        <v>1.0336792193831479</v>
      </c>
      <c r="P30" s="26">
        <f t="shared" si="28"/>
        <v>1.0348049447195449</v>
      </c>
      <c r="Q30" s="26">
        <f t="shared" si="28"/>
        <v>1.0337786572696419</v>
      </c>
      <c r="R30" s="26">
        <f t="shared" ref="R30:W30" si="29">15/(R17+R18+R19+R20+R21+R22+R23+R24+R25)</f>
        <v>1.0278836481058224</v>
      </c>
      <c r="S30" s="26">
        <f t="shared" si="29"/>
        <v>1.0448958715264642</v>
      </c>
      <c r="T30" s="26">
        <f t="shared" si="29"/>
        <v>1.0232880079690929</v>
      </c>
      <c r="U30" s="26">
        <f t="shared" si="29"/>
        <v>1.0210201643062713</v>
      </c>
      <c r="V30" s="26">
        <f t="shared" si="29"/>
        <v>1.0517137230889757</v>
      </c>
      <c r="W30" s="26">
        <f t="shared" si="29"/>
        <v>1.0559428365101222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hidden="1">
      <c r="A31" s="12" t="s">
        <v>41</v>
      </c>
      <c r="B31" s="26">
        <f t="shared" ref="B31:Q31" si="30">2/B25</f>
        <v>10.182055819191246</v>
      </c>
      <c r="C31" s="26">
        <f t="shared" si="30"/>
        <v>1.551302118108985</v>
      </c>
      <c r="D31" s="26">
        <f t="shared" si="30"/>
        <v>1.5664611352671636</v>
      </c>
      <c r="E31" s="26">
        <f t="shared" si="30"/>
        <v>1.0240074513820312</v>
      </c>
      <c r="F31" s="26">
        <f t="shared" si="30"/>
        <v>1.6884953697587508</v>
      </c>
      <c r="G31" s="26">
        <f t="shared" si="30"/>
        <v>1.6572570431944622</v>
      </c>
      <c r="H31" s="26">
        <f t="shared" si="30"/>
        <v>1.4863455798452174</v>
      </c>
      <c r="I31" s="26">
        <f t="shared" si="30"/>
        <v>1.600798628191493</v>
      </c>
      <c r="J31" s="26">
        <f t="shared" si="30"/>
        <v>1.2713244562550432</v>
      </c>
      <c r="K31" s="26">
        <f t="shared" si="30"/>
        <v>1.2375118120909225</v>
      </c>
      <c r="L31" s="26">
        <f t="shared" si="30"/>
        <v>1.3126142699849142</v>
      </c>
      <c r="M31" s="26">
        <f t="shared" si="30"/>
        <v>1.4950968808967324</v>
      </c>
      <c r="N31" s="26">
        <f t="shared" si="30"/>
        <v>0.89237475333089555</v>
      </c>
      <c r="O31" s="26">
        <f t="shared" si="30"/>
        <v>1.417497986681133</v>
      </c>
      <c r="P31" s="26">
        <f t="shared" si="30"/>
        <v>1.4563705792910746</v>
      </c>
      <c r="Q31" s="26">
        <f t="shared" si="30"/>
        <v>1.4634075779564262</v>
      </c>
      <c r="R31" s="26">
        <f t="shared" ref="R31:W31" si="31">2/R25</f>
        <v>1.412678234156308</v>
      </c>
      <c r="S31" s="26">
        <f t="shared" si="31"/>
        <v>1.7462200473551026</v>
      </c>
      <c r="T31" s="26">
        <f t="shared" si="31"/>
        <v>1.3320847070078687</v>
      </c>
      <c r="U31" s="26">
        <f t="shared" si="31"/>
        <v>1.3722300310832769</v>
      </c>
      <c r="V31" s="26">
        <f t="shared" si="31"/>
        <v>1.7357310142586704</v>
      </c>
      <c r="W31" s="26">
        <f t="shared" si="31"/>
        <v>1.8129097408053811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hidden="1">
      <c r="A32" s="12" t="s">
        <v>42</v>
      </c>
      <c r="B32" s="26">
        <f>1</f>
        <v>1</v>
      </c>
      <c r="C32" s="26">
        <f>1</f>
        <v>1</v>
      </c>
      <c r="D32" s="26">
        <f>1</f>
        <v>1</v>
      </c>
      <c r="E32" s="26">
        <f>1</f>
        <v>1</v>
      </c>
      <c r="F32" s="26">
        <f>1</f>
        <v>1</v>
      </c>
      <c r="G32" s="26">
        <f>1</f>
        <v>1</v>
      </c>
      <c r="H32" s="26">
        <f>1</f>
        <v>1</v>
      </c>
      <c r="I32" s="26">
        <f>1</f>
        <v>1</v>
      </c>
      <c r="J32" s="26">
        <f>1</f>
        <v>1</v>
      </c>
      <c r="K32" s="26">
        <f>1</f>
        <v>1</v>
      </c>
      <c r="L32" s="26">
        <f>1</f>
        <v>1</v>
      </c>
      <c r="M32" s="26">
        <f>1</f>
        <v>1</v>
      </c>
      <c r="N32" s="26">
        <f>1</f>
        <v>1</v>
      </c>
      <c r="O32" s="26">
        <f>1</f>
        <v>1</v>
      </c>
      <c r="P32" s="26">
        <f>1</f>
        <v>1</v>
      </c>
      <c r="Q32" s="26">
        <f>1</f>
        <v>1</v>
      </c>
      <c r="R32" s="26">
        <f>1</f>
        <v>1</v>
      </c>
      <c r="S32" s="26">
        <f>1</f>
        <v>1</v>
      </c>
      <c r="T32" s="26">
        <f>1</f>
        <v>1</v>
      </c>
      <c r="U32" s="26">
        <f>1</f>
        <v>1</v>
      </c>
      <c r="V32" s="26">
        <f>1</f>
        <v>1</v>
      </c>
      <c r="W32" s="26">
        <f>1</f>
        <v>1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hidden="1">
      <c r="A33" s="12" t="s">
        <v>43</v>
      </c>
      <c r="B33" s="26">
        <f t="shared" ref="B33:Q33" si="32">8/(B17+B18)</f>
        <v>0.82567848415033807</v>
      </c>
      <c r="C33" s="26">
        <f t="shared" si="32"/>
        <v>0.87550284400663514</v>
      </c>
      <c r="D33" s="26">
        <f t="shared" si="32"/>
        <v>0.87310957706686543</v>
      </c>
      <c r="E33" s="26">
        <f t="shared" si="32"/>
        <v>0.94607280269722127</v>
      </c>
      <c r="F33" s="26">
        <f t="shared" si="32"/>
        <v>0.87133536167943604</v>
      </c>
      <c r="G33" s="26">
        <f t="shared" si="32"/>
        <v>0.87300872173321387</v>
      </c>
      <c r="H33" s="26">
        <f t="shared" si="32"/>
        <v>0.86939437531357133</v>
      </c>
      <c r="I33" s="26">
        <f t="shared" si="32"/>
        <v>0.871077795922926</v>
      </c>
      <c r="J33" s="26">
        <f t="shared" si="32"/>
        <v>0.85990300126952601</v>
      </c>
      <c r="K33" s="26">
        <f t="shared" si="32"/>
        <v>0.85945251965063962</v>
      </c>
      <c r="L33" s="26">
        <f t="shared" si="32"/>
        <v>0.8530669768973006</v>
      </c>
      <c r="M33" s="26">
        <f t="shared" si="32"/>
        <v>0.88821742677372084</v>
      </c>
      <c r="N33" s="26">
        <f t="shared" si="32"/>
        <v>0.87716930124278603</v>
      </c>
      <c r="O33" s="26">
        <f t="shared" si="32"/>
        <v>0.88315132584964262</v>
      </c>
      <c r="P33" s="26">
        <f t="shared" si="32"/>
        <v>0.84763421604518974</v>
      </c>
      <c r="Q33" s="26">
        <f t="shared" si="32"/>
        <v>0.86417406552029763</v>
      </c>
      <c r="R33" s="26">
        <f t="shared" ref="R33:W33" si="33">8/(R17+R18)</f>
        <v>0.86455133706988962</v>
      </c>
      <c r="S33" s="26">
        <f t="shared" si="33"/>
        <v>0.87033556150048175</v>
      </c>
      <c r="T33" s="26">
        <f t="shared" si="33"/>
        <v>0.85692861127997333</v>
      </c>
      <c r="U33" s="26">
        <f t="shared" si="33"/>
        <v>0.88287709308038342</v>
      </c>
      <c r="V33" s="26">
        <f t="shared" si="33"/>
        <v>0.87444033070371596</v>
      </c>
      <c r="W33" s="26">
        <f t="shared" si="33"/>
        <v>0.87424928107018984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hidden="1">
      <c r="A34" s="12" t="s">
        <v>44</v>
      </c>
      <c r="B34" s="26">
        <f t="shared" ref="B34:Q34" si="34">15/(B17+B18+B19+B20+B21+B22+B23+B24+B25+B26)</f>
        <v>0.99312850391869922</v>
      </c>
      <c r="C34" s="26">
        <f t="shared" si="34"/>
        <v>0.9588090278117718</v>
      </c>
      <c r="D34" s="26">
        <f t="shared" si="34"/>
        <v>0.94992039382763838</v>
      </c>
      <c r="E34" s="26">
        <f t="shared" si="34"/>
        <v>0.96168721906302324</v>
      </c>
      <c r="F34" s="26">
        <f t="shared" si="34"/>
        <v>0.96966813551269704</v>
      </c>
      <c r="G34" s="26">
        <f t="shared" si="34"/>
        <v>0.96495776895032137</v>
      </c>
      <c r="H34" s="26">
        <f t="shared" si="34"/>
        <v>0.95485527031388184</v>
      </c>
      <c r="I34" s="26">
        <f t="shared" si="34"/>
        <v>0.95686570998989451</v>
      </c>
      <c r="J34" s="26">
        <f t="shared" si="34"/>
        <v>0.95749217419419919</v>
      </c>
      <c r="K34" s="26">
        <f t="shared" si="34"/>
        <v>0.95901002221852183</v>
      </c>
      <c r="L34" s="26">
        <f t="shared" si="34"/>
        <v>0.94567769786644307</v>
      </c>
      <c r="M34" s="26">
        <f t="shared" si="34"/>
        <v>0.97149326642424383</v>
      </c>
      <c r="N34" s="26">
        <f t="shared" si="34"/>
        <v>0.9798353517257592</v>
      </c>
      <c r="O34" s="26">
        <f t="shared" si="34"/>
        <v>0.96914518120270388</v>
      </c>
      <c r="P34" s="26">
        <f t="shared" si="34"/>
        <v>0.96556565683060047</v>
      </c>
      <c r="Q34" s="26">
        <f t="shared" si="34"/>
        <v>0.96109831536682433</v>
      </c>
      <c r="R34" s="26">
        <f t="shared" ref="R34:W34" si="35">15/(R17+R18+R19+R20+R21+R22+R23+R24+R25+R26)</f>
        <v>0.94063654163389243</v>
      </c>
      <c r="S34" s="26">
        <f t="shared" si="35"/>
        <v>0.94684950814843427</v>
      </c>
      <c r="T34" s="26">
        <f t="shared" si="35"/>
        <v>0.93667207615829251</v>
      </c>
      <c r="U34" s="26">
        <f t="shared" si="35"/>
        <v>0.93595407506783113</v>
      </c>
      <c r="V34" s="26">
        <f t="shared" si="35"/>
        <v>0.96490608339047879</v>
      </c>
      <c r="W34" s="26">
        <f t="shared" si="35"/>
        <v>0.97123812986364455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hidden="1">
      <c r="A35" s="12" t="s">
        <v>45</v>
      </c>
      <c r="B35" s="26">
        <f t="shared" ref="B35:Q35" si="36">12.9/(B17+B18+B19+B20+B21+B22+B23+B24)</f>
        <v>0.98520794466381578</v>
      </c>
      <c r="C35" s="26">
        <f t="shared" si="36"/>
        <v>0.97925986085110384</v>
      </c>
      <c r="D35" s="26">
        <f t="shared" si="36"/>
        <v>0.98146875747449536</v>
      </c>
      <c r="E35" s="26">
        <f t="shared" si="36"/>
        <v>0.98538629307634806</v>
      </c>
      <c r="F35" s="26">
        <f t="shared" si="36"/>
        <v>0.98576413117225947</v>
      </c>
      <c r="G35" s="26">
        <f t="shared" si="36"/>
        <v>0.98821782528388913</v>
      </c>
      <c r="H35" s="26">
        <f t="shared" si="36"/>
        <v>0.98540414528772413</v>
      </c>
      <c r="I35" s="26">
        <f t="shared" si="36"/>
        <v>0.98126911945474782</v>
      </c>
      <c r="J35" s="26">
        <f t="shared" si="36"/>
        <v>0.98053105736453483</v>
      </c>
      <c r="K35" s="26">
        <f t="shared" si="36"/>
        <v>0.98366148819950372</v>
      </c>
      <c r="L35" s="26">
        <f t="shared" si="36"/>
        <v>0.9857256097558067</v>
      </c>
      <c r="M35" s="26">
        <f t="shared" si="36"/>
        <v>0.98157051050201671</v>
      </c>
      <c r="N35" s="26">
        <f t="shared" si="36"/>
        <v>1.1051465258520086</v>
      </c>
      <c r="O35" s="26">
        <f t="shared" si="36"/>
        <v>0.98470764682675416</v>
      </c>
      <c r="P35" s="26">
        <f t="shared" si="36"/>
        <v>0.9830662208591695</v>
      </c>
      <c r="Q35" s="26">
        <f t="shared" si="36"/>
        <v>0.98149593927638668</v>
      </c>
      <c r="R35" s="26">
        <f t="shared" ref="R35:W35" si="37">12.9/(R17+R18+R19+R20+R21+R22+R23+R24)</f>
        <v>0.97895320308031009</v>
      </c>
      <c r="S35" s="26">
        <f t="shared" si="37"/>
        <v>0.97652062848971077</v>
      </c>
      <c r="T35" s="26">
        <f t="shared" si="37"/>
        <v>0.98045000228902002</v>
      </c>
      <c r="U35" s="26">
        <f t="shared" si="37"/>
        <v>0.97478354268031642</v>
      </c>
      <c r="V35" s="26">
        <f t="shared" si="37"/>
        <v>0.98396787965304144</v>
      </c>
      <c r="W35" s="26">
        <f t="shared" si="37"/>
        <v>0.98457382435943508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hidden="1">
      <c r="A36" s="12" t="s">
        <v>46</v>
      </c>
      <c r="B36" s="26">
        <f t="shared" ref="B36:Q36" si="38">36/(46+B17+B18+B19)</f>
        <v>0.64639412312590327</v>
      </c>
      <c r="C36" s="26">
        <f t="shared" si="38"/>
        <v>0.65242111758056409</v>
      </c>
      <c r="D36" s="26">
        <f t="shared" si="38"/>
        <v>0.65188022358144848</v>
      </c>
      <c r="E36" s="26">
        <f t="shared" si="38"/>
        <v>0.6608870188662741</v>
      </c>
      <c r="F36" s="26">
        <f t="shared" si="38"/>
        <v>0.65200339691775344</v>
      </c>
      <c r="G36" s="26">
        <f t="shared" si="38"/>
        <v>0.65232782684593082</v>
      </c>
      <c r="H36" s="26">
        <f t="shared" si="38"/>
        <v>0.65126382274290917</v>
      </c>
      <c r="I36" s="26">
        <f t="shared" si="38"/>
        <v>0.65192133197682545</v>
      </c>
      <c r="J36" s="26">
        <f t="shared" si="38"/>
        <v>0.65082869056735648</v>
      </c>
      <c r="K36" s="26">
        <f t="shared" si="38"/>
        <v>0.65007529965126609</v>
      </c>
      <c r="L36" s="26">
        <f t="shared" si="38"/>
        <v>0.64994665950874209</v>
      </c>
      <c r="M36" s="26">
        <f t="shared" si="38"/>
        <v>0.65421771542224849</v>
      </c>
      <c r="N36" s="26">
        <f t="shared" si="38"/>
        <v>0.65311754703094616</v>
      </c>
      <c r="O36" s="26">
        <f t="shared" si="38"/>
        <v>0.65347443264186822</v>
      </c>
      <c r="P36" s="26">
        <f t="shared" si="38"/>
        <v>0.64885796594528988</v>
      </c>
      <c r="Q36" s="26">
        <f t="shared" si="38"/>
        <v>0.65081531044886254</v>
      </c>
      <c r="R36" s="26">
        <f t="shared" ref="R36:W36" si="39">36/(46+R17+R18+R19)</f>
        <v>0.65093361042070208</v>
      </c>
      <c r="S36" s="26">
        <f t="shared" si="39"/>
        <v>0.65216531918002696</v>
      </c>
      <c r="T36" s="26">
        <f t="shared" si="39"/>
        <v>0.65041480519932837</v>
      </c>
      <c r="U36" s="26">
        <f t="shared" si="39"/>
        <v>0.65324954752416364</v>
      </c>
      <c r="V36" s="26">
        <f t="shared" si="39"/>
        <v>0.65245189637246281</v>
      </c>
      <c r="W36" s="26">
        <f t="shared" si="39"/>
        <v>0.65242089756763522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hidden="1">
      <c r="A37" s="12" t="s">
        <v>47</v>
      </c>
      <c r="B37" s="26">
        <f t="shared" ref="B37:Q37" si="40">1-(B21/46)</f>
        <v>0.96813460705168219</v>
      </c>
      <c r="C37" s="26">
        <f t="shared" si="40"/>
        <v>0.97041932410570941</v>
      </c>
      <c r="D37" s="26">
        <f t="shared" si="40"/>
        <v>0.96786058974508848</v>
      </c>
      <c r="E37" s="26">
        <f t="shared" si="40"/>
        <v>0.94347724382927178</v>
      </c>
      <c r="F37" s="26">
        <f t="shared" si="40"/>
        <v>0.9800569661784081</v>
      </c>
      <c r="G37" s="26">
        <f t="shared" si="40"/>
        <v>0.98302541808641086</v>
      </c>
      <c r="H37" s="26">
        <f t="shared" si="40"/>
        <v>0.96365993316355181</v>
      </c>
      <c r="I37" s="26">
        <f t="shared" si="40"/>
        <v>0.96663405411747394</v>
      </c>
      <c r="J37" s="26">
        <f t="shared" si="40"/>
        <v>0.94808259372835701</v>
      </c>
      <c r="K37" s="26">
        <f t="shared" si="40"/>
        <v>0.94958015064071333</v>
      </c>
      <c r="L37" s="26">
        <f t="shared" si="40"/>
        <v>0.96461462988793223</v>
      </c>
      <c r="M37" s="26">
        <f t="shared" si="40"/>
        <v>0.98108933384808827</v>
      </c>
      <c r="N37" s="26">
        <f t="shared" si="40"/>
        <v>0.99317624268977756</v>
      </c>
      <c r="O37" s="26">
        <f t="shared" si="40"/>
        <v>0.97970938380816475</v>
      </c>
      <c r="P37" s="26">
        <f t="shared" si="40"/>
        <v>0.97254432586031281</v>
      </c>
      <c r="Q37" s="26">
        <f t="shared" si="40"/>
        <v>0.9705318823622906</v>
      </c>
      <c r="R37" s="26">
        <f t="shared" ref="R37:W37" si="41">1-(R21/46)</f>
        <v>0.96445716469313592</v>
      </c>
      <c r="S37" s="26">
        <f t="shared" si="41"/>
        <v>0.95652222907843032</v>
      </c>
      <c r="T37" s="26">
        <f t="shared" si="41"/>
        <v>0.95541799433251184</v>
      </c>
      <c r="U37" s="26">
        <f t="shared" si="41"/>
        <v>0.94709950722391734</v>
      </c>
      <c r="V37" s="26">
        <f t="shared" si="41"/>
        <v>0.97478231672384696</v>
      </c>
      <c r="W37" s="26">
        <f t="shared" si="41"/>
        <v>0.97938031565097083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hidden="1">
      <c r="A38" s="1" t="s">
        <v>49</v>
      </c>
      <c r="B38" s="26">
        <f t="shared" ref="B38:Q38" si="42">(MIN(B28:B32)+MAX(B33:B37))/2</f>
        <v>0.99656425195934961</v>
      </c>
      <c r="C38" s="26">
        <f t="shared" si="42"/>
        <v>0.98962993042555192</v>
      </c>
      <c r="D38" s="26">
        <f t="shared" si="42"/>
        <v>0.99073437873724768</v>
      </c>
      <c r="E38" s="26">
        <f t="shared" si="42"/>
        <v>0.9912167392268536</v>
      </c>
      <c r="F38" s="26">
        <f t="shared" si="42"/>
        <v>0.99288206558612968</v>
      </c>
      <c r="G38" s="26">
        <f t="shared" si="42"/>
        <v>0.99410891264194456</v>
      </c>
      <c r="H38" s="26">
        <f t="shared" si="42"/>
        <v>0.99270207264386201</v>
      </c>
      <c r="I38" s="26">
        <f t="shared" si="42"/>
        <v>0.99063455972737391</v>
      </c>
      <c r="J38" s="26">
        <f t="shared" si="42"/>
        <v>0.99026552868226747</v>
      </c>
      <c r="K38" s="26">
        <f t="shared" si="42"/>
        <v>0.9918307440997518</v>
      </c>
      <c r="L38" s="26">
        <f t="shared" si="42"/>
        <v>0.99286280487790335</v>
      </c>
      <c r="M38" s="26">
        <f t="shared" si="42"/>
        <v>0.99078525525100836</v>
      </c>
      <c r="N38" s="26">
        <f t="shared" si="42"/>
        <v>0.99876063959145212</v>
      </c>
      <c r="O38" s="26">
        <f t="shared" si="42"/>
        <v>0.99235382341337708</v>
      </c>
      <c r="P38" s="26">
        <f t="shared" si="42"/>
        <v>0.99153311042958481</v>
      </c>
      <c r="Q38" s="26">
        <f t="shared" si="42"/>
        <v>0.99074796963819334</v>
      </c>
      <c r="R38" s="26">
        <f t="shared" ref="R38:W38" si="43">(MIN(R28:R32)+MAX(R33:R37))/2</f>
        <v>0.98947660154015504</v>
      </c>
      <c r="S38" s="26">
        <f t="shared" si="43"/>
        <v>0.98826031424485539</v>
      </c>
      <c r="T38" s="26">
        <f t="shared" si="43"/>
        <v>0.98924319462005272</v>
      </c>
      <c r="U38" s="26">
        <f t="shared" si="43"/>
        <v>0.98625930754982072</v>
      </c>
      <c r="V38" s="26">
        <f t="shared" si="43"/>
        <v>0.99198393982652067</v>
      </c>
      <c r="W38" s="26">
        <f t="shared" si="43"/>
        <v>0.99228691217971754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>
      <c r="A39" s="13" t="s">
        <v>50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41">
      <c r="A40" s="14" t="s">
        <v>18</v>
      </c>
      <c r="B40" s="26">
        <f t="shared" ref="B40:Q40" si="44">B17*B38</f>
        <v>7.8679091387712301</v>
      </c>
      <c r="C40" s="26">
        <f t="shared" si="44"/>
        <v>6.4994451913859068</v>
      </c>
      <c r="D40" s="26">
        <f t="shared" si="44"/>
        <v>6.3569788059809111</v>
      </c>
      <c r="E40" s="26">
        <f t="shared" si="44"/>
        <v>6.7058134134805343</v>
      </c>
      <c r="F40" s="26">
        <f t="shared" si="44"/>
        <v>6.9155591235242646</v>
      </c>
      <c r="G40" s="26">
        <f t="shared" si="44"/>
        <v>6.9163516407780889</v>
      </c>
      <c r="H40" s="26">
        <f t="shared" si="44"/>
        <v>6.4542391135960537</v>
      </c>
      <c r="I40" s="26">
        <f t="shared" si="44"/>
        <v>6.5758578047168719</v>
      </c>
      <c r="J40" s="26">
        <f t="shared" si="44"/>
        <v>5.9567076083304746</v>
      </c>
      <c r="K40" s="26">
        <f t="shared" si="44"/>
        <v>5.8209219908169096</v>
      </c>
      <c r="L40" s="26">
        <f t="shared" si="44"/>
        <v>6.0537428414683152</v>
      </c>
      <c r="M40" s="26">
        <f t="shared" si="44"/>
        <v>6.8967528493023975</v>
      </c>
      <c r="N40" s="26">
        <f t="shared" si="44"/>
        <v>7.6312344779851404</v>
      </c>
      <c r="O40" s="26">
        <f t="shared" si="44"/>
        <v>6.7244126060201168</v>
      </c>
      <c r="P40" s="26">
        <f t="shared" si="44"/>
        <v>6.3481016789465707</v>
      </c>
      <c r="Q40" s="26">
        <f t="shared" si="44"/>
        <v>6.3887936794347668</v>
      </c>
      <c r="R40" s="26">
        <f t="shared" ref="R40:W40" si="45">R17*R38</f>
        <v>6.0017411838932109</v>
      </c>
      <c r="S40" s="26">
        <f t="shared" si="45"/>
        <v>6.486722682651175</v>
      </c>
      <c r="T40" s="26">
        <f t="shared" si="45"/>
        <v>5.880638244947197</v>
      </c>
      <c r="U40" s="26">
        <f t="shared" si="45"/>
        <v>6.0315256006313778</v>
      </c>
      <c r="V40" s="26">
        <f t="shared" si="45"/>
        <v>6.8883766502279373</v>
      </c>
      <c r="W40" s="26">
        <f t="shared" si="45"/>
        <v>7.0534783614636245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>
      <c r="A41" s="14" t="s">
        <v>90</v>
      </c>
      <c r="B41" s="26">
        <f t="shared" ref="B41:Q41" si="46">8-B40</f>
        <v>0.1320908612287699</v>
      </c>
      <c r="C41" s="26">
        <f t="shared" si="46"/>
        <v>1.5005548086140932</v>
      </c>
      <c r="D41" s="26">
        <f t="shared" si="46"/>
        <v>1.6430211940190889</v>
      </c>
      <c r="E41" s="26">
        <f t="shared" si="46"/>
        <v>1.2941865865194657</v>
      </c>
      <c r="F41" s="26">
        <f t="shared" si="46"/>
        <v>1.0844408764757354</v>
      </c>
      <c r="G41" s="26">
        <f t="shared" si="46"/>
        <v>1.0836483592219111</v>
      </c>
      <c r="H41" s="26">
        <f t="shared" si="46"/>
        <v>1.5457608864039463</v>
      </c>
      <c r="I41" s="26">
        <f t="shared" si="46"/>
        <v>1.4241421952831281</v>
      </c>
      <c r="J41" s="26">
        <f t="shared" si="46"/>
        <v>2.0432923916695254</v>
      </c>
      <c r="K41" s="26">
        <f t="shared" si="46"/>
        <v>2.1790780091830904</v>
      </c>
      <c r="L41" s="26">
        <f t="shared" si="46"/>
        <v>1.9462571585316848</v>
      </c>
      <c r="M41" s="26">
        <f t="shared" si="46"/>
        <v>1.1032471506976025</v>
      </c>
      <c r="N41" s="26">
        <f t="shared" si="46"/>
        <v>0.36876552201485957</v>
      </c>
      <c r="O41" s="26">
        <f t="shared" si="46"/>
        <v>1.2755873939798832</v>
      </c>
      <c r="P41" s="26">
        <f t="shared" si="46"/>
        <v>1.6518983210534293</v>
      </c>
      <c r="Q41" s="26">
        <f t="shared" si="46"/>
        <v>1.6112063205652332</v>
      </c>
      <c r="R41" s="26">
        <f t="shared" ref="R41:W41" si="47">8-R40</f>
        <v>1.9982588161067891</v>
      </c>
      <c r="S41" s="26">
        <f t="shared" si="47"/>
        <v>1.513277317348825</v>
      </c>
      <c r="T41" s="26">
        <f t="shared" si="47"/>
        <v>2.119361755052803</v>
      </c>
      <c r="U41" s="26">
        <f t="shared" si="47"/>
        <v>1.9684743993686222</v>
      </c>
      <c r="V41" s="26">
        <f t="shared" si="47"/>
        <v>1.1116233497720627</v>
      </c>
      <c r="W41" s="26">
        <f t="shared" si="47"/>
        <v>0.9465216385363755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>
      <c r="A42" s="14" t="s">
        <v>91</v>
      </c>
      <c r="B42" s="26">
        <f t="shared" ref="B42:Q42" si="48">B59-B41</f>
        <v>1.6557124458425103</v>
      </c>
      <c r="C42" s="26">
        <f t="shared" si="48"/>
        <v>1.0428483443560519</v>
      </c>
      <c r="D42" s="26">
        <f t="shared" si="48"/>
        <v>1.0777552303621021</v>
      </c>
      <c r="E42" s="26">
        <f t="shared" si="48"/>
        <v>0.38173752718334875</v>
      </c>
      <c r="F42" s="26">
        <f t="shared" si="48"/>
        <v>1.1159579583449579</v>
      </c>
      <c r="G42" s="26">
        <f t="shared" si="48"/>
        <v>1.1097272033507877</v>
      </c>
      <c r="H42" s="26">
        <f t="shared" si="48"/>
        <v>1.1346537390313012</v>
      </c>
      <c r="I42" s="26">
        <f t="shared" si="48"/>
        <v>1.0980122727410357</v>
      </c>
      <c r="J42" s="26">
        <f t="shared" si="48"/>
        <v>1.2128114656679139</v>
      </c>
      <c r="K42" s="26">
        <f t="shared" si="48"/>
        <v>1.2322097746870093</v>
      </c>
      <c r="L42" s="26">
        <f t="shared" si="48"/>
        <v>1.3109950966715962</v>
      </c>
      <c r="M42" s="26">
        <f t="shared" si="48"/>
        <v>0.92380829635235173</v>
      </c>
      <c r="N42" s="26">
        <f t="shared" si="48"/>
        <v>1.1089429434102962</v>
      </c>
      <c r="O42" s="26">
        <f t="shared" si="48"/>
        <v>0.98920757399011139</v>
      </c>
      <c r="P42" s="26">
        <f t="shared" si="48"/>
        <v>1.3581225642899093</v>
      </c>
      <c r="Q42" s="26">
        <f t="shared" si="48"/>
        <v>1.1717445284978671</v>
      </c>
      <c r="R42" s="26">
        <f t="shared" ref="R42:W42" si="49">R59-R41</f>
        <v>1.155977757375596</v>
      </c>
      <c r="S42" s="26">
        <f t="shared" si="49"/>
        <v>1.0839474608259665</v>
      </c>
      <c r="T42" s="26">
        <f t="shared" si="49"/>
        <v>1.2352448649597005</v>
      </c>
      <c r="U42" s="26">
        <f t="shared" si="49"/>
        <v>0.93677559678196065</v>
      </c>
      <c r="V42" s="26">
        <f t="shared" si="49"/>
        <v>1.0753722580769813</v>
      </c>
      <c r="W42" s="26">
        <f t="shared" si="49"/>
        <v>1.0801279101085206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>
      <c r="A43" s="14" t="s">
        <v>20</v>
      </c>
      <c r="B43" s="26">
        <f t="shared" ref="B43:Q43" si="50">B19*B38</f>
        <v>4.5585267349910509E-3</v>
      </c>
      <c r="C43" s="26">
        <f t="shared" si="50"/>
        <v>4.1048446300733399E-2</v>
      </c>
      <c r="D43" s="26">
        <f t="shared" si="50"/>
        <v>6.1639701792274834E-2</v>
      </c>
      <c r="E43" s="26">
        <f t="shared" si="50"/>
        <v>1.6094122075390668E-2</v>
      </c>
      <c r="F43" s="26">
        <f t="shared" si="50"/>
        <v>3.2890548057853235E-2</v>
      </c>
      <c r="G43" s="26">
        <f t="shared" si="50"/>
        <v>2.3127329083736995E-2</v>
      </c>
      <c r="H43" s="26">
        <f t="shared" si="50"/>
        <v>7.4780070565647616E-2</v>
      </c>
      <c r="I43" s="26">
        <f t="shared" si="50"/>
        <v>3.7012124848182316E-2</v>
      </c>
      <c r="J43" s="26">
        <f t="shared" si="50"/>
        <v>1.0615715147031485E-2</v>
      </c>
      <c r="K43" s="26">
        <f t="shared" si="50"/>
        <v>6.9377371958249723E-2</v>
      </c>
      <c r="L43" s="26">
        <f t="shared" si="50"/>
        <v>1.1153377272295633E-2</v>
      </c>
      <c r="M43" s="26">
        <f t="shared" si="50"/>
        <v>2.0558093510396773E-2</v>
      </c>
      <c r="N43" s="26">
        <f t="shared" si="50"/>
        <v>0</v>
      </c>
      <c r="O43" s="26">
        <f t="shared" si="50"/>
        <v>3.1430676902354543E-2</v>
      </c>
      <c r="P43" s="26">
        <f t="shared" si="50"/>
        <v>4.3689641780880813E-2</v>
      </c>
      <c r="Q43" s="26">
        <f t="shared" si="50"/>
        <v>5.7302834794768949E-2</v>
      </c>
      <c r="R43" s="26">
        <f t="shared" ref="R43:W43" si="51">R19*R38</f>
        <v>5.1279377302779927E-2</v>
      </c>
      <c r="S43" s="26">
        <f t="shared" si="51"/>
        <v>8.766285035101358E-3</v>
      </c>
      <c r="T43" s="26">
        <f t="shared" si="51"/>
        <v>1.3480180889264122E-2</v>
      </c>
      <c r="U43" s="26">
        <f t="shared" si="51"/>
        <v>4.7167154819188185E-2</v>
      </c>
      <c r="V43" s="26">
        <f t="shared" si="51"/>
        <v>2.7550029492845955E-2</v>
      </c>
      <c r="W43" s="26">
        <f t="shared" si="51"/>
        <v>2.8176004948087762E-2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>
      <c r="A44" s="14" t="s">
        <v>21</v>
      </c>
      <c r="B44" s="26">
        <f t="shared" ref="B44:Q44" si="52">B20*B38</f>
        <v>8.0235136138930678E-3</v>
      </c>
      <c r="C44" s="26">
        <f t="shared" si="52"/>
        <v>6.813031926744954E-3</v>
      </c>
      <c r="D44" s="26">
        <f t="shared" si="52"/>
        <v>5.6837075606427125E-3</v>
      </c>
      <c r="E44" s="26">
        <f t="shared" si="52"/>
        <v>0</v>
      </c>
      <c r="F44" s="26">
        <f t="shared" si="52"/>
        <v>5.5764198891963988E-3</v>
      </c>
      <c r="G44" s="26">
        <f t="shared" si="52"/>
        <v>5.5252107790559422E-3</v>
      </c>
      <c r="H44" s="26">
        <f t="shared" si="52"/>
        <v>0</v>
      </c>
      <c r="I44" s="26">
        <f t="shared" si="52"/>
        <v>3.4329098826428803E-3</v>
      </c>
      <c r="J44" s="26">
        <f t="shared" si="52"/>
        <v>0</v>
      </c>
      <c r="K44" s="26">
        <f t="shared" si="52"/>
        <v>4.8618620527686295E-3</v>
      </c>
      <c r="L44" s="26">
        <f t="shared" si="52"/>
        <v>3.5172536931578251E-3</v>
      </c>
      <c r="M44" s="26">
        <f t="shared" si="52"/>
        <v>1.0805102430474292E-2</v>
      </c>
      <c r="N44" s="26">
        <f t="shared" si="52"/>
        <v>1.646365883326445E-2</v>
      </c>
      <c r="O44" s="26">
        <f t="shared" si="52"/>
        <v>4.2950985526214534E-2</v>
      </c>
      <c r="P44" s="26">
        <f t="shared" si="52"/>
        <v>0</v>
      </c>
      <c r="Q44" s="26">
        <f t="shared" si="52"/>
        <v>1.136517911025123E-2</v>
      </c>
      <c r="R44" s="26">
        <f t="shared" ref="R44:W44" si="53">R20*R38</f>
        <v>7.0309208396357164E-3</v>
      </c>
      <c r="S44" s="26">
        <f t="shared" si="53"/>
        <v>4.6074606913866492E-3</v>
      </c>
      <c r="T44" s="26">
        <f t="shared" si="53"/>
        <v>2.3616770886554475E-3</v>
      </c>
      <c r="U44" s="26">
        <f t="shared" si="53"/>
        <v>0</v>
      </c>
      <c r="V44" s="26">
        <f t="shared" si="53"/>
        <v>1.1583988193545015E-2</v>
      </c>
      <c r="W44" s="26">
        <f t="shared" si="53"/>
        <v>6.8349188730800975E-3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>
      <c r="A45" s="14" t="s">
        <v>22</v>
      </c>
      <c r="B45" s="26">
        <f t="shared" ref="B45:Q45" si="54">B21*B38</f>
        <v>1.4607719283988294</v>
      </c>
      <c r="C45" s="26">
        <f t="shared" si="54"/>
        <v>1.3466004224515473</v>
      </c>
      <c r="D45" s="26">
        <f t="shared" si="54"/>
        <v>1.4647144579865368</v>
      </c>
      <c r="E45" s="26">
        <f t="shared" si="54"/>
        <v>2.5772098949285298</v>
      </c>
      <c r="F45" s="26">
        <f t="shared" si="54"/>
        <v>0.91084970828246559</v>
      </c>
      <c r="G45" s="26">
        <f t="shared" si="54"/>
        <v>0.77623082575880886</v>
      </c>
      <c r="H45" s="26">
        <f t="shared" si="54"/>
        <v>1.6594435447536933</v>
      </c>
      <c r="I45" s="26">
        <f t="shared" si="54"/>
        <v>1.5204591190242858</v>
      </c>
      <c r="J45" s="26">
        <f t="shared" si="54"/>
        <v>2.3649528173924259</v>
      </c>
      <c r="K45" s="26">
        <f t="shared" si="54"/>
        <v>2.3003660085412601</v>
      </c>
      <c r="L45" s="26">
        <f t="shared" si="54"/>
        <v>1.616109619771074</v>
      </c>
      <c r="M45" s="26">
        <f t="shared" si="54"/>
        <v>0.86187482275327032</v>
      </c>
      <c r="N45" s="26">
        <f t="shared" si="54"/>
        <v>0.31350380991643362</v>
      </c>
      <c r="O45" s="26">
        <f t="shared" si="54"/>
        <v>0.92623164563953253</v>
      </c>
      <c r="P45" s="26">
        <f t="shared" si="54"/>
        <v>1.2522676590185948</v>
      </c>
      <c r="Q45" s="26">
        <f t="shared" si="54"/>
        <v>1.3429919750565193</v>
      </c>
      <c r="R45" s="26">
        <f t="shared" ref="R45:W45" si="55">R21*R38</f>
        <v>1.6177649788727155</v>
      </c>
      <c r="S45" s="26">
        <f t="shared" si="55"/>
        <v>1.9764983554663516</v>
      </c>
      <c r="T45" s="26">
        <f t="shared" si="55"/>
        <v>2.0287125026174651</v>
      </c>
      <c r="U45" s="26">
        <f t="shared" si="55"/>
        <v>2.3999857552216461</v>
      </c>
      <c r="V45" s="26">
        <f t="shared" si="55"/>
        <v>1.1507146932404788</v>
      </c>
      <c r="W45" s="26">
        <f t="shared" si="55"/>
        <v>0.94118957398965686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>
      <c r="A46" s="14" t="s">
        <v>23</v>
      </c>
      <c r="B46" s="26">
        <f t="shared" ref="B46:Q46" si="56">B22*B38</f>
        <v>2.0298342077937946E-3</v>
      </c>
      <c r="C46" s="26">
        <f t="shared" si="56"/>
        <v>4.8666343083533879E-3</v>
      </c>
      <c r="D46" s="26">
        <f t="shared" si="56"/>
        <v>9.7438649379070225E-3</v>
      </c>
      <c r="E46" s="26">
        <f t="shared" si="56"/>
        <v>2.8485085770793946E-2</v>
      </c>
      <c r="F46" s="26">
        <f t="shared" si="56"/>
        <v>1.1949920377158677E-3</v>
      </c>
      <c r="G46" s="26">
        <f t="shared" si="56"/>
        <v>0</v>
      </c>
      <c r="H46" s="26">
        <f t="shared" si="56"/>
        <v>1.88563626552034E-2</v>
      </c>
      <c r="I46" s="26">
        <f t="shared" si="56"/>
        <v>1.7165194636385654E-2</v>
      </c>
      <c r="J46" s="26">
        <f t="shared" si="56"/>
        <v>2.7898550332368717E-2</v>
      </c>
      <c r="K46" s="26">
        <f t="shared" si="56"/>
        <v>5.2093337275295115E-3</v>
      </c>
      <c r="L46" s="26">
        <f t="shared" si="56"/>
        <v>1.3818301782662294E-2</v>
      </c>
      <c r="M46" s="26">
        <f t="shared" si="56"/>
        <v>4.6309322567823575E-3</v>
      </c>
      <c r="N46" s="26">
        <f t="shared" si="56"/>
        <v>0</v>
      </c>
      <c r="O46" s="26">
        <f t="shared" si="56"/>
        <v>7.0800989131607787E-3</v>
      </c>
      <c r="P46" s="26">
        <f t="shared" si="56"/>
        <v>8.6113675810708494E-3</v>
      </c>
      <c r="Q46" s="26">
        <f t="shared" si="56"/>
        <v>0</v>
      </c>
      <c r="R46" s="26">
        <f t="shared" ref="R46:W46" si="57">R22*R38</f>
        <v>1.2555687741300412E-3</v>
      </c>
      <c r="S46" s="26">
        <f t="shared" si="57"/>
        <v>1.3576064134040357E-2</v>
      </c>
      <c r="T46" s="26">
        <f t="shared" si="57"/>
        <v>2.4039402556141183E-2</v>
      </c>
      <c r="U46" s="26">
        <f t="shared" si="57"/>
        <v>3.1097298328809399E-2</v>
      </c>
      <c r="V46" s="26">
        <f t="shared" si="57"/>
        <v>1.2411882472390143E-3</v>
      </c>
      <c r="W46" s="26">
        <f t="shared" si="57"/>
        <v>6.1028355364018691E-3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>
      <c r="A47" s="14" t="s">
        <v>24</v>
      </c>
      <c r="B47" s="26">
        <f t="shared" ref="B47:Q47" si="58">B23*B38</f>
        <v>1.9175996330265817</v>
      </c>
      <c r="C47" s="26">
        <f t="shared" si="58"/>
        <v>2.594430269441482</v>
      </c>
      <c r="D47" s="26">
        <f t="shared" si="58"/>
        <v>2.4022463477096796</v>
      </c>
      <c r="E47" s="26">
        <f t="shared" si="58"/>
        <v>1.9728015632287004</v>
      </c>
      <c r="F47" s="26">
        <f t="shared" si="58"/>
        <v>2.926677761323031</v>
      </c>
      <c r="G47" s="26">
        <f t="shared" si="58"/>
        <v>3.0622905200128079</v>
      </c>
      <c r="H47" s="26">
        <f t="shared" si="58"/>
        <v>2.1078040005330743</v>
      </c>
      <c r="I47" s="26">
        <f t="shared" si="58"/>
        <v>2.3470387106109265</v>
      </c>
      <c r="J47" s="26">
        <f t="shared" si="58"/>
        <v>1.4117894805712101</v>
      </c>
      <c r="K47" s="26">
        <f t="shared" si="58"/>
        <v>1.3839799188807658</v>
      </c>
      <c r="L47" s="26">
        <f t="shared" si="58"/>
        <v>2.0378094400298123</v>
      </c>
      <c r="M47" s="26">
        <f t="shared" si="58"/>
        <v>3.1939282501013651</v>
      </c>
      <c r="N47" s="26">
        <f t="shared" si="58"/>
        <v>2.2171895076086319</v>
      </c>
      <c r="O47" s="26">
        <f t="shared" si="58"/>
        <v>2.987579902937175</v>
      </c>
      <c r="P47" s="26">
        <f t="shared" si="58"/>
        <v>2.3484130583130138</v>
      </c>
      <c r="Q47" s="26">
        <f t="shared" si="58"/>
        <v>2.4381967922263965</v>
      </c>
      <c r="R47" s="26">
        <f t="shared" ref="R47:W47" si="59">R23*R38</f>
        <v>2.1958241206290778</v>
      </c>
      <c r="S47" s="26">
        <f t="shared" si="59"/>
        <v>1.9629999428675502</v>
      </c>
      <c r="T47" s="26">
        <f t="shared" si="59"/>
        <v>1.7118553703644688</v>
      </c>
      <c r="U47" s="26">
        <f t="shared" si="59"/>
        <v>1.6368411071780342</v>
      </c>
      <c r="V47" s="26">
        <f t="shared" si="59"/>
        <v>2.7362727556224455</v>
      </c>
      <c r="W47" s="26">
        <f t="shared" si="59"/>
        <v>2.9270367731847768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>
      <c r="A48" s="14" t="s">
        <v>25</v>
      </c>
      <c r="B48" s="26">
        <f t="shared" ref="B48:Q48" si="60">B24*B38</f>
        <v>0</v>
      </c>
      <c r="C48" s="26">
        <f t="shared" si="60"/>
        <v>0</v>
      </c>
      <c r="D48" s="26">
        <f t="shared" si="60"/>
        <v>0</v>
      </c>
      <c r="E48" s="26">
        <f t="shared" si="60"/>
        <v>0</v>
      </c>
      <c r="F48" s="26">
        <f t="shared" si="60"/>
        <v>0</v>
      </c>
      <c r="G48" s="26">
        <f t="shared" si="60"/>
        <v>0</v>
      </c>
      <c r="H48" s="26">
        <f t="shared" si="60"/>
        <v>0</v>
      </c>
      <c r="I48" s="26">
        <f t="shared" si="60"/>
        <v>0</v>
      </c>
      <c r="J48" s="26">
        <f t="shared" si="60"/>
        <v>0</v>
      </c>
      <c r="K48" s="26">
        <f t="shared" si="60"/>
        <v>1.1129538253508542E-2</v>
      </c>
      <c r="L48" s="26">
        <f t="shared" si="60"/>
        <v>0</v>
      </c>
      <c r="M48" s="26">
        <f t="shared" si="60"/>
        <v>5.4965589328092035E-3</v>
      </c>
      <c r="N48" s="26">
        <f t="shared" si="60"/>
        <v>2.0937670792337557E-3</v>
      </c>
      <c r="O48" s="26">
        <f t="shared" si="60"/>
        <v>1.5686590453296657E-2</v>
      </c>
      <c r="P48" s="26">
        <f t="shared" si="60"/>
        <v>0</v>
      </c>
      <c r="Q48" s="26">
        <f t="shared" si="60"/>
        <v>0</v>
      </c>
      <c r="R48" s="26">
        <f t="shared" ref="R48:W48" si="61">R24*R38</f>
        <v>9.5376842550432498E-3</v>
      </c>
      <c r="S48" s="26">
        <f t="shared" si="61"/>
        <v>4.687633344295266E-3</v>
      </c>
      <c r="T48" s="26">
        <f t="shared" si="61"/>
        <v>0</v>
      </c>
      <c r="U48" s="26">
        <f t="shared" si="61"/>
        <v>0</v>
      </c>
      <c r="V48" s="26">
        <f t="shared" si="61"/>
        <v>2.3571113441075001E-3</v>
      </c>
      <c r="W48" s="26">
        <f t="shared" si="61"/>
        <v>1.1589751116379297E-2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>
      <c r="A49" s="14" t="s">
        <v>92</v>
      </c>
      <c r="B49" s="26">
        <f t="shared" ref="B49:Q49" si="62">B42+B43+B44+B45+B46+B47+B48</f>
        <v>5.0486958818245995</v>
      </c>
      <c r="C49" s="26">
        <f t="shared" si="62"/>
        <v>5.0366071487849133</v>
      </c>
      <c r="D49" s="26">
        <f t="shared" si="62"/>
        <v>5.0217833103491429</v>
      </c>
      <c r="E49" s="26">
        <f t="shared" si="62"/>
        <v>4.9763281931867631</v>
      </c>
      <c r="F49" s="26">
        <f t="shared" si="62"/>
        <v>4.9931473879352204</v>
      </c>
      <c r="G49" s="26">
        <f t="shared" si="62"/>
        <v>4.9769010889851977</v>
      </c>
      <c r="H49" s="26">
        <f t="shared" si="62"/>
        <v>4.9955377175389195</v>
      </c>
      <c r="I49" s="26">
        <f t="shared" si="62"/>
        <v>5.0231203317434581</v>
      </c>
      <c r="J49" s="26">
        <f t="shared" si="62"/>
        <v>5.0280680291109494</v>
      </c>
      <c r="K49" s="26">
        <f t="shared" si="62"/>
        <v>5.0071338081010923</v>
      </c>
      <c r="L49" s="26">
        <f t="shared" si="62"/>
        <v>4.9934030892205978</v>
      </c>
      <c r="M49" s="26">
        <f t="shared" si="62"/>
        <v>5.0211020563374502</v>
      </c>
      <c r="N49" s="26">
        <f t="shared" si="62"/>
        <v>3.6581936868478597</v>
      </c>
      <c r="O49" s="26">
        <f t="shared" si="62"/>
        <v>5.0001674743618452</v>
      </c>
      <c r="P49" s="26">
        <f t="shared" si="62"/>
        <v>5.0111042909834698</v>
      </c>
      <c r="Q49" s="26">
        <f t="shared" si="62"/>
        <v>5.0216013096858028</v>
      </c>
      <c r="R49" s="26">
        <f t="shared" ref="R49:W49" si="63">R42+R43+R44+R45+R46+R47+R48</f>
        <v>5.0386704080489793</v>
      </c>
      <c r="S49" s="26">
        <f t="shared" si="63"/>
        <v>5.0550832023646919</v>
      </c>
      <c r="T49" s="26">
        <f t="shared" si="63"/>
        <v>5.0156939984756956</v>
      </c>
      <c r="U49" s="26">
        <f t="shared" si="63"/>
        <v>5.0518669123296389</v>
      </c>
      <c r="V49" s="26">
        <f t="shared" si="63"/>
        <v>5.0050920242176424</v>
      </c>
      <c r="W49" s="26">
        <f t="shared" si="63"/>
        <v>5.0010577677569037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>
      <c r="A50" s="14" t="s">
        <v>93</v>
      </c>
      <c r="B50" s="26">
        <f t="shared" ref="B50:Q50" si="64">IF(B49&lt;5,0,B49-5)</f>
        <v>4.8695881824599496E-2</v>
      </c>
      <c r="C50" s="26">
        <f t="shared" si="64"/>
        <v>3.6607148784913335E-2</v>
      </c>
      <c r="D50" s="26">
        <f t="shared" si="64"/>
        <v>2.1783310349142937E-2</v>
      </c>
      <c r="E50" s="26">
        <f t="shared" si="64"/>
        <v>0</v>
      </c>
      <c r="F50" s="26">
        <f t="shared" si="64"/>
        <v>0</v>
      </c>
      <c r="G50" s="26">
        <f t="shared" si="64"/>
        <v>0</v>
      </c>
      <c r="H50" s="26">
        <f t="shared" si="64"/>
        <v>0</v>
      </c>
      <c r="I50" s="26">
        <f t="shared" si="64"/>
        <v>2.3120331743458067E-2</v>
      </c>
      <c r="J50" s="26">
        <f t="shared" si="64"/>
        <v>2.8068029110949411E-2</v>
      </c>
      <c r="K50" s="26">
        <f t="shared" si="64"/>
        <v>7.1338081010923204E-3</v>
      </c>
      <c r="L50" s="26">
        <f t="shared" si="64"/>
        <v>0</v>
      </c>
      <c r="M50" s="26">
        <f t="shared" si="64"/>
        <v>2.1102056337450215E-2</v>
      </c>
      <c r="N50" s="26">
        <f t="shared" si="64"/>
        <v>0</v>
      </c>
      <c r="O50" s="26">
        <f t="shared" si="64"/>
        <v>1.6747436184516573E-4</v>
      </c>
      <c r="P50" s="26">
        <f t="shared" si="64"/>
        <v>1.1104290983469767E-2</v>
      </c>
      <c r="Q50" s="26">
        <f t="shared" si="64"/>
        <v>2.1601309685802761E-2</v>
      </c>
      <c r="R50" s="26">
        <f t="shared" ref="R50:W50" si="65">IF(R49&lt;5,0,R49-5)</f>
        <v>3.8670408048979255E-2</v>
      </c>
      <c r="S50" s="26">
        <f t="shared" si="65"/>
        <v>5.5083202364691886E-2</v>
      </c>
      <c r="T50" s="26">
        <f t="shared" si="65"/>
        <v>1.5693998475695636E-2</v>
      </c>
      <c r="U50" s="26">
        <f t="shared" si="65"/>
        <v>5.1866912329638915E-2</v>
      </c>
      <c r="V50" s="26">
        <f t="shared" si="65"/>
        <v>5.0920242176424324E-3</v>
      </c>
      <c r="W50" s="26">
        <f t="shared" si="65"/>
        <v>1.0577677569036936E-3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>
      <c r="A51" s="14" t="s">
        <v>26</v>
      </c>
      <c r="B51" s="26">
        <f t="shared" ref="B51:Q51" si="66">B25*B38</f>
        <v>0.19574912368502534</v>
      </c>
      <c r="C51" s="26">
        <f t="shared" si="66"/>
        <v>1.2758700176750826</v>
      </c>
      <c r="D51" s="26">
        <f t="shared" si="66"/>
        <v>1.2649332389191712</v>
      </c>
      <c r="E51" s="26">
        <f t="shared" si="66"/>
        <v>1.9359561063526984</v>
      </c>
      <c r="F51" s="26">
        <f t="shared" si="66"/>
        <v>1.1760554199541464</v>
      </c>
      <c r="G51" s="26">
        <f t="shared" si="66"/>
        <v>1.1997039526538866</v>
      </c>
      <c r="H51" s="26">
        <f t="shared" si="66"/>
        <v>1.3357621351385029</v>
      </c>
      <c r="I51" s="26">
        <f t="shared" si="66"/>
        <v>1.2376754231062106</v>
      </c>
      <c r="J51" s="26">
        <f t="shared" si="66"/>
        <v>1.5578486259901037</v>
      </c>
      <c r="K51" s="26">
        <f t="shared" si="66"/>
        <v>1.6029434780488059</v>
      </c>
      <c r="L51" s="26">
        <f t="shared" si="66"/>
        <v>1.5128020890544094</v>
      </c>
      <c r="M51" s="26">
        <f t="shared" si="66"/>
        <v>1.3253793354939689</v>
      </c>
      <c r="N51" s="26">
        <f t="shared" si="66"/>
        <v>2.2384332050261588</v>
      </c>
      <c r="O51" s="26">
        <f t="shared" si="66"/>
        <v>1.4001484767351668</v>
      </c>
      <c r="P51" s="26">
        <f t="shared" si="66"/>
        <v>1.3616494654983196</v>
      </c>
      <c r="Q51" s="26">
        <f t="shared" si="66"/>
        <v>1.3540287539329572</v>
      </c>
      <c r="R51" s="26">
        <f t="shared" ref="R51:W51" si="67">R25*R38</f>
        <v>1.4008520519622769</v>
      </c>
      <c r="S51" s="26">
        <f t="shared" si="67"/>
        <v>1.131885200541267</v>
      </c>
      <c r="T51" s="26">
        <f t="shared" si="67"/>
        <v>1.4852556889450261</v>
      </c>
      <c r="U51" s="26">
        <f t="shared" si="67"/>
        <v>1.4374547782943359</v>
      </c>
      <c r="V51" s="26">
        <f t="shared" si="67"/>
        <v>1.1430157457320036</v>
      </c>
      <c r="W51" s="26">
        <f t="shared" si="67"/>
        <v>1.0946898125649613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>
      <c r="A52" s="1" t="s">
        <v>94</v>
      </c>
      <c r="B52" s="25">
        <f t="shared" ref="B52:Q52" si="68">2-(B50+B51)</f>
        <v>1.7555549944903752</v>
      </c>
      <c r="C52" s="25">
        <f t="shared" si="68"/>
        <v>0.6875228335400041</v>
      </c>
      <c r="D52" s="25">
        <f t="shared" si="68"/>
        <v>0.71328345073168586</v>
      </c>
      <c r="E52" s="25">
        <f t="shared" si="68"/>
        <v>6.4043893647301564E-2</v>
      </c>
      <c r="F52" s="25">
        <f t="shared" si="68"/>
        <v>0.82394458004585358</v>
      </c>
      <c r="G52" s="25">
        <f t="shared" si="68"/>
        <v>0.80029604734611337</v>
      </c>
      <c r="H52" s="25">
        <f t="shared" si="68"/>
        <v>0.66423786486149705</v>
      </c>
      <c r="I52" s="25">
        <f t="shared" si="68"/>
        <v>0.73920424515033134</v>
      </c>
      <c r="J52" s="25">
        <f t="shared" si="68"/>
        <v>0.41408334489894694</v>
      </c>
      <c r="K52" s="25">
        <f t="shared" si="68"/>
        <v>0.3899227138501018</v>
      </c>
      <c r="L52" s="25">
        <f t="shared" si="68"/>
        <v>0.48719791094559062</v>
      </c>
      <c r="M52" s="25">
        <f t="shared" si="68"/>
        <v>0.65351860816858087</v>
      </c>
      <c r="N52" s="25">
        <f t="shared" si="68"/>
        <v>-0.23843320502615883</v>
      </c>
      <c r="O52" s="25">
        <f t="shared" si="68"/>
        <v>0.59968404890298799</v>
      </c>
      <c r="P52" s="25">
        <f t="shared" si="68"/>
        <v>0.62724624351821068</v>
      </c>
      <c r="Q52" s="25">
        <f t="shared" si="68"/>
        <v>0.62436993638124005</v>
      </c>
      <c r="R52" s="25">
        <f t="shared" ref="R52:W52" si="69">2-(R50+R51)</f>
        <v>0.56047753998874383</v>
      </c>
      <c r="S52" s="25">
        <f t="shared" si="69"/>
        <v>0.81303159709404116</v>
      </c>
      <c r="T52" s="25">
        <f t="shared" si="69"/>
        <v>0.49905031257927823</v>
      </c>
      <c r="U52" s="25">
        <f t="shared" si="69"/>
        <v>0.51067830937602521</v>
      </c>
      <c r="V52" s="25">
        <f t="shared" si="69"/>
        <v>0.85189223005035397</v>
      </c>
      <c r="W52" s="25">
        <f t="shared" si="69"/>
        <v>0.90425241967813497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>
      <c r="A53" s="1" t="s">
        <v>95</v>
      </c>
      <c r="B53" s="25">
        <f t="shared" ref="B53:Q53" si="70">B50+B51+B52</f>
        <v>2</v>
      </c>
      <c r="C53" s="25">
        <f t="shared" si="70"/>
        <v>2</v>
      </c>
      <c r="D53" s="25">
        <f t="shared" si="70"/>
        <v>2</v>
      </c>
      <c r="E53" s="25">
        <f t="shared" si="70"/>
        <v>2</v>
      </c>
      <c r="F53" s="25">
        <f t="shared" si="70"/>
        <v>2</v>
      </c>
      <c r="G53" s="25">
        <f t="shared" si="70"/>
        <v>2</v>
      </c>
      <c r="H53" s="25">
        <f t="shared" si="70"/>
        <v>2</v>
      </c>
      <c r="I53" s="25">
        <f t="shared" si="70"/>
        <v>2</v>
      </c>
      <c r="J53" s="25">
        <f t="shared" si="70"/>
        <v>2</v>
      </c>
      <c r="K53" s="25">
        <f t="shared" si="70"/>
        <v>2</v>
      </c>
      <c r="L53" s="25">
        <f t="shared" si="70"/>
        <v>2</v>
      </c>
      <c r="M53" s="25">
        <f t="shared" si="70"/>
        <v>2</v>
      </c>
      <c r="N53" s="25">
        <f t="shared" si="70"/>
        <v>2</v>
      </c>
      <c r="O53" s="25">
        <f t="shared" si="70"/>
        <v>2</v>
      </c>
      <c r="P53" s="25">
        <f t="shared" si="70"/>
        <v>2</v>
      </c>
      <c r="Q53" s="25">
        <f t="shared" si="70"/>
        <v>2</v>
      </c>
      <c r="R53" s="25">
        <f t="shared" ref="R53:W53" si="71">R50+R51+R52</f>
        <v>2</v>
      </c>
      <c r="S53" s="25">
        <f t="shared" si="71"/>
        <v>2</v>
      </c>
      <c r="T53" s="25">
        <f t="shared" si="71"/>
        <v>2</v>
      </c>
      <c r="U53" s="25">
        <f t="shared" si="71"/>
        <v>2</v>
      </c>
      <c r="V53" s="25">
        <f t="shared" si="71"/>
        <v>2</v>
      </c>
      <c r="W53" s="25">
        <f t="shared" si="71"/>
        <v>2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>
      <c r="A54" s="14" t="s">
        <v>96</v>
      </c>
      <c r="B54" s="26">
        <f t="shared" ref="B54:Q54" si="72">B57-B52</f>
        <v>5.1892801793929966E-2</v>
      </c>
      <c r="C54" s="26">
        <f t="shared" si="72"/>
        <v>0.48217478746712317</v>
      </c>
      <c r="D54" s="26">
        <f t="shared" si="72"/>
        <v>0.6444853459533415</v>
      </c>
      <c r="E54" s="26">
        <f t="shared" si="72"/>
        <v>0.48426106460644758</v>
      </c>
      <c r="F54" s="26">
        <f t="shared" si="72"/>
        <v>0.36595377085183256</v>
      </c>
      <c r="G54" s="26">
        <f t="shared" si="72"/>
        <v>0.47624532782639406</v>
      </c>
      <c r="H54" s="26">
        <f t="shared" si="72"/>
        <v>0.59900477764266369</v>
      </c>
      <c r="I54" s="26">
        <f t="shared" si="72"/>
        <v>0.52936659844100986</v>
      </c>
      <c r="J54" s="26">
        <f t="shared" si="72"/>
        <v>0.51342489324755358</v>
      </c>
      <c r="K54" s="26">
        <f t="shared" si="72"/>
        <v>0.51335316296232691</v>
      </c>
      <c r="L54" s="26">
        <f t="shared" si="72"/>
        <v>0.7550301314937431</v>
      </c>
      <c r="M54" s="26">
        <f t="shared" si="72"/>
        <v>0.29787116638140465</v>
      </c>
      <c r="N54" s="26">
        <f t="shared" si="72"/>
        <v>1.6315277622562212</v>
      </c>
      <c r="O54" s="26">
        <f t="shared" si="72"/>
        <v>0.3592130878967662</v>
      </c>
      <c r="P54" s="26">
        <f t="shared" si="72"/>
        <v>0.40340271138402728</v>
      </c>
      <c r="Q54" s="26">
        <f t="shared" si="72"/>
        <v>0.46274642974562408</v>
      </c>
      <c r="R54" s="26">
        <f t="shared" ref="R54:W54" si="73">R57-R52</f>
        <v>0.77883525269112686</v>
      </c>
      <c r="S54" s="26">
        <f t="shared" si="73"/>
        <v>0.65603043155294993</v>
      </c>
      <c r="T54" s="26">
        <f t="shared" si="73"/>
        <v>0.84188137662933671</v>
      </c>
      <c r="U54" s="26">
        <f t="shared" si="73"/>
        <v>0.80621315439559149</v>
      </c>
      <c r="V54" s="26">
        <f t="shared" si="73"/>
        <v>0.42094028997458155</v>
      </c>
      <c r="W54" s="26">
        <f t="shared" si="73"/>
        <v>0.32508169215454785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>
      <c r="A55" s="14" t="s">
        <v>28</v>
      </c>
      <c r="B55" s="26">
        <f t="shared" ref="B55:Q55" si="74">B27*B38</f>
        <v>4.8556311289172944E-3</v>
      </c>
      <c r="C55" s="26">
        <f t="shared" si="74"/>
        <v>9.7121385378095726E-2</v>
      </c>
      <c r="D55" s="26">
        <f t="shared" si="74"/>
        <v>7.8882379203530625E-2</v>
      </c>
      <c r="E55" s="26">
        <f t="shared" si="74"/>
        <v>0.10335726228792368</v>
      </c>
      <c r="F55" s="26">
        <f t="shared" si="74"/>
        <v>4.1396452411421744E-2</v>
      </c>
      <c r="G55" s="26">
        <f t="shared" si="74"/>
        <v>2.1399810003365209E-2</v>
      </c>
      <c r="H55" s="26">
        <f t="shared" si="74"/>
        <v>0</v>
      </c>
      <c r="I55" s="26">
        <f t="shared" si="74"/>
        <v>2.7700157131601413E-2</v>
      </c>
      <c r="J55" s="26">
        <f t="shared" si="74"/>
        <v>0.26212226674325045</v>
      </c>
      <c r="K55" s="26">
        <f t="shared" si="74"/>
        <v>0.30403540800316486</v>
      </c>
      <c r="L55" s="26">
        <f t="shared" si="74"/>
        <v>2.6488679016539056E-2</v>
      </c>
      <c r="M55" s="26">
        <f t="shared" si="74"/>
        <v>5.9286748227541264E-2</v>
      </c>
      <c r="N55" s="26">
        <f t="shared" si="74"/>
        <v>0</v>
      </c>
      <c r="O55" s="26">
        <f t="shared" si="74"/>
        <v>6.9314318680415432E-2</v>
      </c>
      <c r="P55" s="26">
        <f t="shared" si="74"/>
        <v>4.0763085096832428E-2</v>
      </c>
      <c r="Q55" s="26">
        <f t="shared" si="74"/>
        <v>4.9521053360074938E-2</v>
      </c>
      <c r="R55" s="26">
        <f t="shared" ref="R55:W55" si="75">R27*R38</f>
        <v>3.0257341430755036E-2</v>
      </c>
      <c r="S55" s="26">
        <f t="shared" si="75"/>
        <v>2.4165446565710669E-2</v>
      </c>
      <c r="T55" s="26">
        <f t="shared" si="75"/>
        <v>1.7150739698283495E-2</v>
      </c>
      <c r="U55" s="26">
        <f t="shared" si="75"/>
        <v>9.757795220478321E-3</v>
      </c>
      <c r="V55" s="26">
        <f t="shared" si="75"/>
        <v>3.1780216611577636E-2</v>
      </c>
      <c r="W55" s="26">
        <f t="shared" si="75"/>
        <v>2.7575487449194171E-2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>
      <c r="A56" s="14" t="s">
        <v>97</v>
      </c>
      <c r="B56" s="26">
        <f t="shared" ref="B56:Q56" si="76">B54+B55</f>
        <v>5.6748432922847258E-2</v>
      </c>
      <c r="C56" s="26">
        <f t="shared" si="76"/>
        <v>0.57929617284521884</v>
      </c>
      <c r="D56" s="26">
        <f t="shared" si="76"/>
        <v>0.72336772515687209</v>
      </c>
      <c r="E56" s="26">
        <f t="shared" si="76"/>
        <v>0.58761832689437121</v>
      </c>
      <c r="F56" s="26">
        <f t="shared" si="76"/>
        <v>0.40735022326325432</v>
      </c>
      <c r="G56" s="26">
        <f t="shared" si="76"/>
        <v>0.49764513782975928</v>
      </c>
      <c r="H56" s="26">
        <f t="shared" si="76"/>
        <v>0.59900477764266369</v>
      </c>
      <c r="I56" s="26">
        <f t="shared" si="76"/>
        <v>0.55706675557261132</v>
      </c>
      <c r="J56" s="26">
        <f t="shared" si="76"/>
        <v>0.77554715999080404</v>
      </c>
      <c r="K56" s="26">
        <f t="shared" si="76"/>
        <v>0.81738857096549178</v>
      </c>
      <c r="L56" s="26">
        <f t="shared" si="76"/>
        <v>0.78151881051028216</v>
      </c>
      <c r="M56" s="26">
        <f t="shared" si="76"/>
        <v>0.35715791460894591</v>
      </c>
      <c r="N56" s="26">
        <f t="shared" si="76"/>
        <v>1.6315277622562212</v>
      </c>
      <c r="O56" s="26">
        <f t="shared" si="76"/>
        <v>0.42852740657718164</v>
      </c>
      <c r="P56" s="26">
        <f t="shared" si="76"/>
        <v>0.44416579648085969</v>
      </c>
      <c r="Q56" s="26">
        <f t="shared" si="76"/>
        <v>0.51226748310569903</v>
      </c>
      <c r="R56" s="26">
        <f t="shared" ref="R56:W56" si="77">R54+R55</f>
        <v>0.80909259412188184</v>
      </c>
      <c r="S56" s="26">
        <f t="shared" si="77"/>
        <v>0.68019587811866056</v>
      </c>
      <c r="T56" s="26">
        <f t="shared" si="77"/>
        <v>0.85903211632762022</v>
      </c>
      <c r="U56" s="26">
        <f t="shared" si="77"/>
        <v>0.81597094961606986</v>
      </c>
      <c r="V56" s="26">
        <f t="shared" si="77"/>
        <v>0.4527205065861592</v>
      </c>
      <c r="W56" s="26">
        <f t="shared" si="77"/>
        <v>0.35265717960374204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>
      <c r="A57" s="14" t="s">
        <v>98</v>
      </c>
      <c r="B57" s="26">
        <f t="shared" ref="B57:Q57" si="78">B26*B38</f>
        <v>1.8074477962843052</v>
      </c>
      <c r="C57" s="26">
        <f t="shared" si="78"/>
        <v>1.1696976210071273</v>
      </c>
      <c r="D57" s="26">
        <f t="shared" si="78"/>
        <v>1.3577687966850274</v>
      </c>
      <c r="E57" s="26">
        <f t="shared" si="78"/>
        <v>0.54830495825374914</v>
      </c>
      <c r="F57" s="26">
        <f t="shared" si="78"/>
        <v>1.1898983508976861</v>
      </c>
      <c r="G57" s="26">
        <f t="shared" si="78"/>
        <v>1.2765413751725074</v>
      </c>
      <c r="H57" s="26">
        <f t="shared" si="78"/>
        <v>1.2632426425041607</v>
      </c>
      <c r="I57" s="26">
        <f t="shared" si="78"/>
        <v>1.2685708435913412</v>
      </c>
      <c r="J57" s="26">
        <f t="shared" si="78"/>
        <v>0.92750823814650052</v>
      </c>
      <c r="K57" s="26">
        <f t="shared" si="78"/>
        <v>0.90327587681242871</v>
      </c>
      <c r="L57" s="26">
        <f t="shared" si="78"/>
        <v>1.2422280424393337</v>
      </c>
      <c r="M57" s="26">
        <f t="shared" si="78"/>
        <v>0.95138977454998552</v>
      </c>
      <c r="N57" s="26">
        <f t="shared" si="78"/>
        <v>1.3930945572300624</v>
      </c>
      <c r="O57" s="26">
        <f t="shared" si="78"/>
        <v>0.95889713679975419</v>
      </c>
      <c r="P57" s="26">
        <f t="shared" si="78"/>
        <v>1.030648954902238</v>
      </c>
      <c r="Q57" s="26">
        <f t="shared" si="78"/>
        <v>1.0871163661268641</v>
      </c>
      <c r="R57" s="26">
        <f t="shared" ref="R57:W57" si="79">R26*R38</f>
        <v>1.3393127926798707</v>
      </c>
      <c r="S57" s="26">
        <f t="shared" si="79"/>
        <v>1.4690620286469911</v>
      </c>
      <c r="T57" s="26">
        <f t="shared" si="79"/>
        <v>1.3409316892086149</v>
      </c>
      <c r="U57" s="26">
        <f t="shared" si="79"/>
        <v>1.3168914637716167</v>
      </c>
      <c r="V57" s="26">
        <f t="shared" si="79"/>
        <v>1.2728325200249355</v>
      </c>
      <c r="W57" s="26">
        <f t="shared" si="79"/>
        <v>1.2293341118326828</v>
      </c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>
      <c r="A58" s="14" t="s">
        <v>99</v>
      </c>
      <c r="B58" s="26">
        <f t="shared" ref="B58:Q58" si="80">B61+B60+B55+B57+B51+B48+B47+B46+B44+B43+B42+B41+B40</f>
        <v>15.056748432922848</v>
      </c>
      <c r="C58" s="26">
        <f t="shared" si="80"/>
        <v>15.579296172845218</v>
      </c>
      <c r="D58" s="26">
        <f t="shared" si="80"/>
        <v>15.723367725156873</v>
      </c>
      <c r="E58" s="26">
        <f t="shared" si="80"/>
        <v>15.563946520081135</v>
      </c>
      <c r="F58" s="26">
        <f t="shared" si="80"/>
        <v>15.400497611198475</v>
      </c>
      <c r="G58" s="26">
        <f t="shared" si="80"/>
        <v>15.474546226814956</v>
      </c>
      <c r="H58" s="26">
        <f t="shared" si="80"/>
        <v>15.594542495181585</v>
      </c>
      <c r="I58" s="26">
        <f t="shared" si="80"/>
        <v>15.557066755572613</v>
      </c>
      <c r="J58" s="26">
        <f t="shared" si="80"/>
        <v>15.775547159990808</v>
      </c>
      <c r="K58" s="26">
        <f t="shared" si="80"/>
        <v>15.817388570965491</v>
      </c>
      <c r="L58" s="26">
        <f t="shared" si="80"/>
        <v>15.774921899730881</v>
      </c>
      <c r="M58" s="26">
        <f t="shared" si="80"/>
        <v>15.357157914608948</v>
      </c>
      <c r="N58" s="26">
        <f t="shared" si="80"/>
        <v>15.289721449104082</v>
      </c>
      <c r="O58" s="26">
        <f t="shared" si="80"/>
        <v>15.428527406577182</v>
      </c>
      <c r="P58" s="26">
        <f t="shared" si="80"/>
        <v>15.44416579648086</v>
      </c>
      <c r="Q58" s="26">
        <f t="shared" si="80"/>
        <v>15.512267483105699</v>
      </c>
      <c r="R58" s="26">
        <f t="shared" ref="R58:W58" si="81">R61+R60+R55+R57+R51+R48+R47+R46+R44+R43+R42+R41+R40</f>
        <v>15.809092594121884</v>
      </c>
      <c r="S58" s="26">
        <f t="shared" si="81"/>
        <v>15.680195878118662</v>
      </c>
      <c r="T58" s="26">
        <f t="shared" si="81"/>
        <v>15.859032116327619</v>
      </c>
      <c r="U58" s="26">
        <f t="shared" si="81"/>
        <v>15.815970949616071</v>
      </c>
      <c r="V58" s="26">
        <f t="shared" si="81"/>
        <v>15.452720506586161</v>
      </c>
      <c r="W58" s="26">
        <f t="shared" si="81"/>
        <v>15.352657179603742</v>
      </c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>
      <c r="A59" s="14" t="s">
        <v>100</v>
      </c>
      <c r="B59" s="26">
        <f t="shared" ref="B59:Q59" si="82">B18*B38</f>
        <v>1.7878033070712802</v>
      </c>
      <c r="C59" s="26">
        <f t="shared" si="82"/>
        <v>2.5434031529701451</v>
      </c>
      <c r="D59" s="26">
        <f t="shared" si="82"/>
        <v>2.7207764243811909</v>
      </c>
      <c r="E59" s="26">
        <f t="shared" si="82"/>
        <v>1.6759241137028145</v>
      </c>
      <c r="F59" s="26">
        <f t="shared" si="82"/>
        <v>2.2003988348206933</v>
      </c>
      <c r="G59" s="26">
        <f t="shared" si="82"/>
        <v>2.1933755625726987</v>
      </c>
      <c r="H59" s="26">
        <f t="shared" si="82"/>
        <v>2.6804146254352474</v>
      </c>
      <c r="I59" s="26">
        <f t="shared" si="82"/>
        <v>2.5221544680241639</v>
      </c>
      <c r="J59" s="26">
        <f t="shared" si="82"/>
        <v>3.2561038573374392</v>
      </c>
      <c r="K59" s="26">
        <f t="shared" si="82"/>
        <v>3.4112877838700997</v>
      </c>
      <c r="L59" s="26">
        <f t="shared" si="82"/>
        <v>3.257252255203281</v>
      </c>
      <c r="M59" s="26">
        <f t="shared" si="82"/>
        <v>2.0270554470499542</v>
      </c>
      <c r="N59" s="26">
        <f t="shared" si="82"/>
        <v>1.4777084654251558</v>
      </c>
      <c r="O59" s="26">
        <f t="shared" si="82"/>
        <v>2.2647949679699946</v>
      </c>
      <c r="P59" s="26">
        <f t="shared" si="82"/>
        <v>3.0100208853433386</v>
      </c>
      <c r="Q59" s="26">
        <f t="shared" si="82"/>
        <v>2.7829508490631003</v>
      </c>
      <c r="R59" s="26">
        <f t="shared" ref="R59:W59" si="83">R18*R38</f>
        <v>3.1542365734823852</v>
      </c>
      <c r="S59" s="26">
        <f t="shared" si="83"/>
        <v>2.5972247781747915</v>
      </c>
      <c r="T59" s="26">
        <f t="shared" si="83"/>
        <v>3.3546066200125035</v>
      </c>
      <c r="U59" s="26">
        <f t="shared" si="83"/>
        <v>2.9052499961505829</v>
      </c>
      <c r="V59" s="26">
        <f t="shared" si="83"/>
        <v>2.186995607849044</v>
      </c>
      <c r="W59" s="26">
        <f t="shared" si="83"/>
        <v>2.0266495486448961</v>
      </c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>
      <c r="A60" s="1" t="s">
        <v>51</v>
      </c>
      <c r="B60" s="26">
        <f t="shared" ref="B60:Q60" si="84">46*(1-B38)</f>
        <v>0.15804440986991786</v>
      </c>
      <c r="C60" s="26">
        <f t="shared" si="84"/>
        <v>0.47702320042461177</v>
      </c>
      <c r="D60" s="26">
        <f t="shared" si="84"/>
        <v>0.42621857808660679</v>
      </c>
      <c r="E60" s="26">
        <f t="shared" si="84"/>
        <v>0.40402999556473418</v>
      </c>
      <c r="F60" s="26">
        <f t="shared" si="84"/>
        <v>0.32742498303803469</v>
      </c>
      <c r="G60" s="26">
        <f t="shared" si="84"/>
        <v>0.27099001847055004</v>
      </c>
      <c r="H60" s="26">
        <f t="shared" si="84"/>
        <v>0.33570465838234753</v>
      </c>
      <c r="I60" s="26">
        <f t="shared" si="84"/>
        <v>0.43081025254080019</v>
      </c>
      <c r="J60" s="26">
        <f t="shared" si="84"/>
        <v>0.44778568061569635</v>
      </c>
      <c r="K60" s="26">
        <f t="shared" si="84"/>
        <v>0.375785771411417</v>
      </c>
      <c r="L60" s="26">
        <f t="shared" si="84"/>
        <v>0.32831097561644595</v>
      </c>
      <c r="M60" s="26">
        <f t="shared" si="84"/>
        <v>0.4238782584536156</v>
      </c>
      <c r="N60" s="26">
        <f t="shared" si="84"/>
        <v>5.7010578793202704E-2</v>
      </c>
      <c r="O60" s="26">
        <f t="shared" si="84"/>
        <v>0.35172412298465439</v>
      </c>
      <c r="P60" s="26">
        <f t="shared" si="84"/>
        <v>0.38947692023909886</v>
      </c>
      <c r="Q60" s="26">
        <f t="shared" si="84"/>
        <v>0.42559339664310647</v>
      </c>
      <c r="R60" s="26">
        <f t="shared" ref="R60:W60" si="85">46*(1-R38)</f>
        <v>0.48407632915286802</v>
      </c>
      <c r="S60" s="26">
        <f t="shared" si="85"/>
        <v>0.54002554473665221</v>
      </c>
      <c r="T60" s="26">
        <f t="shared" si="85"/>
        <v>0.49481304747757471</v>
      </c>
      <c r="U60" s="26">
        <f t="shared" si="85"/>
        <v>0.63207185270824695</v>
      </c>
      <c r="V60" s="26">
        <f t="shared" si="85"/>
        <v>0.36873876798004934</v>
      </c>
      <c r="W60" s="26">
        <f t="shared" si="85"/>
        <v>0.35480203973299318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>
      <c r="A61" s="1" t="s">
        <v>52</v>
      </c>
      <c r="B61" s="26">
        <f t="shared" ref="B61:Q61" si="86">B45-B60</f>
        <v>1.3027275185289116</v>
      </c>
      <c r="C61" s="26">
        <f t="shared" si="86"/>
        <v>0.86957722202693555</v>
      </c>
      <c r="D61" s="26">
        <f t="shared" si="86"/>
        <v>1.03849587989993</v>
      </c>
      <c r="E61" s="26">
        <f t="shared" si="86"/>
        <v>2.1731798993637956</v>
      </c>
      <c r="F61" s="26">
        <f t="shared" si="86"/>
        <v>0.5834247252444309</v>
      </c>
      <c r="G61" s="26">
        <f t="shared" si="86"/>
        <v>0.50524080728825882</v>
      </c>
      <c r="H61" s="26">
        <f t="shared" si="86"/>
        <v>1.3237388863713457</v>
      </c>
      <c r="I61" s="26">
        <f t="shared" si="86"/>
        <v>1.0896488664834856</v>
      </c>
      <c r="J61" s="26">
        <f t="shared" si="86"/>
        <v>1.9171671367767296</v>
      </c>
      <c r="K61" s="26">
        <f t="shared" si="86"/>
        <v>1.9245802371298431</v>
      </c>
      <c r="L61" s="26">
        <f t="shared" si="86"/>
        <v>1.2877986441546281</v>
      </c>
      <c r="M61" s="26">
        <f t="shared" si="86"/>
        <v>0.43799656429965472</v>
      </c>
      <c r="N61" s="26">
        <f t="shared" si="86"/>
        <v>0.25649323112323091</v>
      </c>
      <c r="O61" s="26">
        <f t="shared" si="86"/>
        <v>0.57450752265487814</v>
      </c>
      <c r="P61" s="26">
        <f t="shared" si="86"/>
        <v>0.86279073877949597</v>
      </c>
      <c r="Q61" s="26">
        <f t="shared" si="86"/>
        <v>0.91739857841341288</v>
      </c>
      <c r="R61" s="26">
        <f t="shared" ref="R61:W61" si="87">R45-R60</f>
        <v>1.1336886497198475</v>
      </c>
      <c r="S61" s="26">
        <f t="shared" si="87"/>
        <v>1.4364728107296993</v>
      </c>
      <c r="T61" s="26">
        <f t="shared" si="87"/>
        <v>1.5338994551398903</v>
      </c>
      <c r="U61" s="26">
        <f t="shared" si="87"/>
        <v>1.7679139025133992</v>
      </c>
      <c r="V61" s="26">
        <f t="shared" si="87"/>
        <v>0.78197592526042947</v>
      </c>
      <c r="W61" s="26">
        <f t="shared" si="87"/>
        <v>0.58638753425666368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>
      <c r="A62" s="1" t="s">
        <v>10</v>
      </c>
      <c r="B62" s="19">
        <f t="shared" ref="B62:Q62" si="88">(B10*B61/(B61+B60))</f>
        <v>11.050388064196509</v>
      </c>
      <c r="C62" s="19">
        <f t="shared" si="88"/>
        <v>7.2389407402496895</v>
      </c>
      <c r="D62" s="19">
        <f t="shared" si="88"/>
        <v>8.6357308403774979</v>
      </c>
      <c r="E62" s="19">
        <f t="shared" si="88"/>
        <v>16.99951053943516</v>
      </c>
      <c r="F62" s="19">
        <f t="shared" si="88"/>
        <v>4.9448760184377738</v>
      </c>
      <c r="G62" s="19">
        <f t="shared" si="88"/>
        <v>4.3219089593801376</v>
      </c>
      <c r="H62" s="19">
        <f t="shared" si="88"/>
        <v>10.66525520963825</v>
      </c>
      <c r="I62" s="19">
        <f t="shared" si="88"/>
        <v>9.0012217966210102</v>
      </c>
      <c r="J62" s="19">
        <f t="shared" si="88"/>
        <v>14.616157760896536</v>
      </c>
      <c r="K62" s="19">
        <f t="shared" si="88"/>
        <v>14.967505307595198</v>
      </c>
      <c r="L62" s="19">
        <f t="shared" si="88"/>
        <v>10.382969155094649</v>
      </c>
      <c r="M62" s="19">
        <f t="shared" si="88"/>
        <v>3.8317560829419941</v>
      </c>
      <c r="N62" s="19">
        <f t="shared" si="88"/>
        <v>2.3562728179661043</v>
      </c>
      <c r="O62" s="19">
        <f t="shared" si="88"/>
        <v>4.9310934544378329</v>
      </c>
      <c r="P62" s="19">
        <f t="shared" si="88"/>
        <v>7.1034115212940412</v>
      </c>
      <c r="Q62" s="19">
        <f t="shared" si="88"/>
        <v>7.6302333232084765</v>
      </c>
      <c r="R62" s="19">
        <f t="shared" ref="R62:W62" si="89">(R10*R61/(R61+R60))</f>
        <v>9.1451088829683727</v>
      </c>
      <c r="S62" s="19">
        <f t="shared" si="89"/>
        <v>11.788316911874295</v>
      </c>
      <c r="T62" s="19">
        <f t="shared" si="89"/>
        <v>12.278983404169891</v>
      </c>
      <c r="U62" s="19">
        <f t="shared" si="89"/>
        <v>13.819275693196097</v>
      </c>
      <c r="V62" s="19">
        <f t="shared" si="89"/>
        <v>6.3810377857588794</v>
      </c>
      <c r="W62" s="19">
        <f t="shared" si="89"/>
        <v>4.8658493135782139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>
      <c r="A63" s="1" t="s">
        <v>101</v>
      </c>
      <c r="B63" s="19">
        <f t="shared" ref="B63:Q63" si="90">1.1113*B10*(B60/(B60+B61))</f>
        <v>1.4898220442584187</v>
      </c>
      <c r="C63" s="19">
        <f t="shared" si="90"/>
        <v>4.4130381553605202</v>
      </c>
      <c r="D63" s="19">
        <f t="shared" si="90"/>
        <v>3.9387463170884858</v>
      </c>
      <c r="E63" s="19">
        <f t="shared" si="90"/>
        <v>3.5122519375257082</v>
      </c>
      <c r="F63" s="19">
        <f t="shared" si="90"/>
        <v>3.0839952807101012</v>
      </c>
      <c r="G63" s="19">
        <f t="shared" si="90"/>
        <v>2.5760945734408525</v>
      </c>
      <c r="H63" s="19">
        <f t="shared" si="90"/>
        <v>3.0057828855290118</v>
      </c>
      <c r="I63" s="19">
        <f t="shared" si="90"/>
        <v>3.9548702174150723</v>
      </c>
      <c r="J63" s="19">
        <f t="shared" si="90"/>
        <v>3.7938028803156798</v>
      </c>
      <c r="K63" s="19">
        <f t="shared" si="90"/>
        <v>3.2477683516694551</v>
      </c>
      <c r="L63" s="19">
        <f t="shared" si="90"/>
        <v>2.941645377943316</v>
      </c>
      <c r="M63" s="19">
        <f t="shared" si="90"/>
        <v>4.1209714650265621</v>
      </c>
      <c r="N63" s="19">
        <f t="shared" si="90"/>
        <v>0.58201801739426795</v>
      </c>
      <c r="O63" s="19">
        <f t="shared" si="90"/>
        <v>3.3549108440832365</v>
      </c>
      <c r="P63" s="19">
        <f t="shared" si="90"/>
        <v>3.5634817763859332</v>
      </c>
      <c r="Q63" s="19">
        <f t="shared" si="90"/>
        <v>3.9337427079184195</v>
      </c>
      <c r="R63" s="19">
        <f t="shared" ref="R63:W63" si="91">1.1113*R10*(R60/(R60+R61))</f>
        <v>4.3395054983572496</v>
      </c>
      <c r="S63" s="19">
        <f t="shared" si="91"/>
        <v>4.9249294158340957</v>
      </c>
      <c r="T63" s="19">
        <f t="shared" si="91"/>
        <v>4.4018777429459996</v>
      </c>
      <c r="U63" s="19">
        <f t="shared" si="91"/>
        <v>5.4906269221511801</v>
      </c>
      <c r="V63" s="19">
        <f t="shared" si="91"/>
        <v>3.3438597086861579</v>
      </c>
      <c r="W63" s="19">
        <f t="shared" si="91"/>
        <v>3.2718346578205306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>
      <c r="A64" s="1" t="s">
        <v>102</v>
      </c>
      <c r="B64" s="19">
        <f t="shared" ref="B64:W64" si="92">B10</f>
        <v>12.391</v>
      </c>
      <c r="C64" s="19">
        <f t="shared" si="92"/>
        <v>11.21</v>
      </c>
      <c r="D64" s="19">
        <f t="shared" si="92"/>
        <v>12.18</v>
      </c>
      <c r="E64" s="19">
        <f t="shared" si="92"/>
        <v>20.16</v>
      </c>
      <c r="F64" s="19">
        <f t="shared" si="92"/>
        <v>7.72</v>
      </c>
      <c r="G64" s="19">
        <f t="shared" si="92"/>
        <v>6.64</v>
      </c>
      <c r="H64" s="19">
        <f t="shared" si="92"/>
        <v>13.37</v>
      </c>
      <c r="I64" s="19">
        <f t="shared" si="92"/>
        <v>12.56</v>
      </c>
      <c r="J64" s="19">
        <f t="shared" si="92"/>
        <v>18.03</v>
      </c>
      <c r="K64" s="19">
        <f t="shared" si="92"/>
        <v>17.89</v>
      </c>
      <c r="L64" s="19">
        <f t="shared" si="92"/>
        <v>13.03</v>
      </c>
      <c r="M64" s="19">
        <f t="shared" si="92"/>
        <v>7.54</v>
      </c>
      <c r="N64" s="19">
        <f t="shared" si="92"/>
        <v>2.88</v>
      </c>
      <c r="O64" s="19">
        <f t="shared" si="92"/>
        <v>7.95</v>
      </c>
      <c r="P64" s="19">
        <f t="shared" si="92"/>
        <v>10.31</v>
      </c>
      <c r="Q64" s="19">
        <f t="shared" si="92"/>
        <v>11.17</v>
      </c>
      <c r="R64" s="19">
        <f t="shared" si="92"/>
        <v>13.05</v>
      </c>
      <c r="S64" s="19">
        <f t="shared" si="92"/>
        <v>16.22</v>
      </c>
      <c r="T64" s="19">
        <f t="shared" si="92"/>
        <v>16.239999999999998</v>
      </c>
      <c r="U64" s="19">
        <f t="shared" si="92"/>
        <v>18.760000000000002</v>
      </c>
      <c r="V64" s="19">
        <f t="shared" si="92"/>
        <v>9.39</v>
      </c>
      <c r="W64" s="19">
        <f t="shared" si="92"/>
        <v>7.81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>
      <c r="A65" s="1" t="s">
        <v>53</v>
      </c>
      <c r="B65" s="26">
        <f t="shared" ref="B65:Q65" si="93">B40+B59+B43+B60+B61+B47+B46-13</f>
        <v>4.0672368210707077E-2</v>
      </c>
      <c r="C65" s="26">
        <f t="shared" si="93"/>
        <v>2.9794116858166575E-2</v>
      </c>
      <c r="D65" s="26">
        <f t="shared" si="93"/>
        <v>1.6099602788500533E-2</v>
      </c>
      <c r="E65" s="26">
        <f t="shared" si="93"/>
        <v>-2.3671806813236884E-2</v>
      </c>
      <c r="F65" s="26">
        <f t="shared" si="93"/>
        <v>-1.2429031953976377E-2</v>
      </c>
      <c r="G65" s="26">
        <f t="shared" si="93"/>
        <v>-2.8624121793857427E-2</v>
      </c>
      <c r="H65" s="26">
        <f t="shared" si="93"/>
        <v>-4.4622824610822676E-3</v>
      </c>
      <c r="I65" s="26">
        <f t="shared" si="93"/>
        <v>1.9687421860815846E-2</v>
      </c>
      <c r="J65" s="26">
        <f t="shared" si="93"/>
        <v>2.8068029110949411E-2</v>
      </c>
      <c r="K65" s="26">
        <f t="shared" si="93"/>
        <v>-8.8575922051852274E-3</v>
      </c>
      <c r="L65" s="26">
        <f t="shared" si="93"/>
        <v>-1.0114164472557974E-2</v>
      </c>
      <c r="M65" s="26">
        <f t="shared" si="93"/>
        <v>4.8003949741666219E-3</v>
      </c>
      <c r="N65" s="26">
        <f t="shared" si="93"/>
        <v>-1.3603637390646384</v>
      </c>
      <c r="O65" s="26">
        <f t="shared" si="93"/>
        <v>-5.8470101617665193E-2</v>
      </c>
      <c r="P65" s="26">
        <f t="shared" si="93"/>
        <v>1.1104290983471543E-2</v>
      </c>
      <c r="Q65" s="26">
        <f t="shared" si="93"/>
        <v>1.0236130575552949E-2</v>
      </c>
      <c r="R65" s="26">
        <f t="shared" ref="R65:W65" si="94">R40+R59+R43+R60+R61+R47+R46-13</f>
        <v>2.2101802954299643E-2</v>
      </c>
      <c r="S65" s="26">
        <f t="shared" si="94"/>
        <v>4.5788108329007926E-2</v>
      </c>
      <c r="T65" s="26">
        <f t="shared" si="94"/>
        <v>1.3332321387039769E-2</v>
      </c>
      <c r="U65" s="26">
        <f t="shared" si="94"/>
        <v>5.1866912329638026E-2</v>
      </c>
      <c r="V65" s="26">
        <f t="shared" si="94"/>
        <v>-8.8490753200094474E-3</v>
      </c>
      <c r="W65" s="26">
        <f t="shared" si="94"/>
        <v>-1.7366902232554438E-2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>
      <c r="A66" s="1" t="s">
        <v>103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>
      <c r="A67" s="1" t="s">
        <v>54</v>
      </c>
      <c r="B67" s="26">
        <f t="shared" ref="B67:Q67" si="95">(B40-4)/4</f>
        <v>0.96697728469280753</v>
      </c>
      <c r="C67" s="26">
        <f t="shared" si="95"/>
        <v>0.6248612978464767</v>
      </c>
      <c r="D67" s="26">
        <f t="shared" si="95"/>
        <v>0.58924470149522779</v>
      </c>
      <c r="E67" s="26">
        <f t="shared" si="95"/>
        <v>0.67645335337013357</v>
      </c>
      <c r="F67" s="26">
        <f t="shared" si="95"/>
        <v>0.72888978088106615</v>
      </c>
      <c r="G67" s="26">
        <f t="shared" si="95"/>
        <v>0.72908791019452224</v>
      </c>
      <c r="H67" s="26">
        <f t="shared" si="95"/>
        <v>0.61355977839901343</v>
      </c>
      <c r="I67" s="26">
        <f t="shared" si="95"/>
        <v>0.64396445117921797</v>
      </c>
      <c r="J67" s="26">
        <f t="shared" si="95"/>
        <v>0.48917690208261866</v>
      </c>
      <c r="K67" s="26">
        <f t="shared" si="95"/>
        <v>0.45523049770422741</v>
      </c>
      <c r="L67" s="26">
        <f t="shared" si="95"/>
        <v>0.5134357103670788</v>
      </c>
      <c r="M67" s="26">
        <f t="shared" si="95"/>
        <v>0.72418821232559938</v>
      </c>
      <c r="N67" s="26">
        <f t="shared" si="95"/>
        <v>0.90780861949628511</v>
      </c>
      <c r="O67" s="26">
        <f t="shared" si="95"/>
        <v>0.6811031515050292</v>
      </c>
      <c r="P67" s="26">
        <f t="shared" si="95"/>
        <v>0.58702541973664268</v>
      </c>
      <c r="Q67" s="26">
        <f t="shared" si="95"/>
        <v>0.59719841985869171</v>
      </c>
      <c r="R67" s="26">
        <f t="shared" ref="R67:W67" si="96">(R40-4)/4</f>
        <v>0.50043529597330272</v>
      </c>
      <c r="S67" s="26">
        <f t="shared" si="96"/>
        <v>0.62168067066279376</v>
      </c>
      <c r="T67" s="26">
        <f t="shared" si="96"/>
        <v>0.47015956123679925</v>
      </c>
      <c r="U67" s="26">
        <f t="shared" si="96"/>
        <v>0.50788140015784444</v>
      </c>
      <c r="V67" s="26">
        <f t="shared" si="96"/>
        <v>0.72209416255698433</v>
      </c>
      <c r="W67" s="26">
        <f t="shared" si="96"/>
        <v>0.76336959036590613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>
      <c r="A68" s="1" t="s">
        <v>55</v>
      </c>
      <c r="B68" s="26">
        <f t="shared" ref="B68:Q68" si="97">(8-B40)/4</f>
        <v>3.3022715307192474E-2</v>
      </c>
      <c r="C68" s="26">
        <f t="shared" si="97"/>
        <v>0.3751387021535233</v>
      </c>
      <c r="D68" s="26">
        <f t="shared" si="97"/>
        <v>0.41075529850477221</v>
      </c>
      <c r="E68" s="26">
        <f t="shared" si="97"/>
        <v>0.32354664662986643</v>
      </c>
      <c r="F68" s="26">
        <f t="shared" si="97"/>
        <v>0.27111021911893385</v>
      </c>
      <c r="G68" s="26">
        <f t="shared" si="97"/>
        <v>0.27091208980547776</v>
      </c>
      <c r="H68" s="26">
        <f t="shared" si="97"/>
        <v>0.38644022160098657</v>
      </c>
      <c r="I68" s="26">
        <f t="shared" si="97"/>
        <v>0.35603554882078203</v>
      </c>
      <c r="J68" s="26">
        <f t="shared" si="97"/>
        <v>0.51082309791738134</v>
      </c>
      <c r="K68" s="26">
        <f t="shared" si="97"/>
        <v>0.54476950229577259</v>
      </c>
      <c r="L68" s="26">
        <f t="shared" si="97"/>
        <v>0.4865642896329212</v>
      </c>
      <c r="M68" s="26">
        <f t="shared" si="97"/>
        <v>0.27581178767440062</v>
      </c>
      <c r="N68" s="26">
        <f t="shared" si="97"/>
        <v>9.2191380503714893E-2</v>
      </c>
      <c r="O68" s="26">
        <f t="shared" si="97"/>
        <v>0.3188968484949708</v>
      </c>
      <c r="P68" s="26">
        <f t="shared" si="97"/>
        <v>0.41297458026335732</v>
      </c>
      <c r="Q68" s="26">
        <f t="shared" si="97"/>
        <v>0.40280158014130829</v>
      </c>
      <c r="R68" s="26">
        <f t="shared" ref="R68:W68" si="98">(8-R40)/4</f>
        <v>0.49956470402669728</v>
      </c>
      <c r="S68" s="26">
        <f t="shared" si="98"/>
        <v>0.37831932933720624</v>
      </c>
      <c r="T68" s="26">
        <f t="shared" si="98"/>
        <v>0.52984043876320075</v>
      </c>
      <c r="U68" s="26">
        <f t="shared" si="98"/>
        <v>0.49211859984215556</v>
      </c>
      <c r="V68" s="26">
        <f t="shared" si="98"/>
        <v>0.27790583744301567</v>
      </c>
      <c r="W68" s="26">
        <f t="shared" si="98"/>
        <v>0.23663040963409387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>
      <c r="A69" s="1" t="s">
        <v>56</v>
      </c>
      <c r="B69" s="26">
        <f t="shared" ref="B69:Q69" si="99">(B59+B40-8)/2</f>
        <v>0.82785622292125538</v>
      </c>
      <c r="C69" s="26">
        <f t="shared" si="99"/>
        <v>0.52142417217802617</v>
      </c>
      <c r="D69" s="26">
        <f t="shared" si="99"/>
        <v>0.53887761518105126</v>
      </c>
      <c r="E69" s="26">
        <f t="shared" si="99"/>
        <v>0.19086876359167437</v>
      </c>
      <c r="F69" s="26">
        <f t="shared" si="99"/>
        <v>0.55797897917247852</v>
      </c>
      <c r="G69" s="26">
        <f t="shared" si="99"/>
        <v>0.55486360167539406</v>
      </c>
      <c r="H69" s="26">
        <f t="shared" si="99"/>
        <v>0.56732686951565015</v>
      </c>
      <c r="I69" s="26">
        <f t="shared" si="99"/>
        <v>0.54900613637051787</v>
      </c>
      <c r="J69" s="26">
        <f t="shared" si="99"/>
        <v>0.60640573283395671</v>
      </c>
      <c r="K69" s="26">
        <f t="shared" si="99"/>
        <v>0.61610488734350444</v>
      </c>
      <c r="L69" s="26">
        <f t="shared" si="99"/>
        <v>0.65549754833579854</v>
      </c>
      <c r="M69" s="26">
        <f t="shared" si="99"/>
        <v>0.46190414817617587</v>
      </c>
      <c r="N69" s="26">
        <f t="shared" si="99"/>
        <v>0.55447147170514821</v>
      </c>
      <c r="O69" s="26">
        <f t="shared" si="99"/>
        <v>0.49460378699505547</v>
      </c>
      <c r="P69" s="26">
        <f t="shared" si="99"/>
        <v>0.67906128214495443</v>
      </c>
      <c r="Q69" s="26">
        <f t="shared" si="99"/>
        <v>0.58587226424893402</v>
      </c>
      <c r="R69" s="26">
        <f t="shared" ref="R69:W69" si="100">(R59+R40-8)/2</f>
        <v>0.57798887868779758</v>
      </c>
      <c r="S69" s="26">
        <f t="shared" si="100"/>
        <v>0.54197373041298302</v>
      </c>
      <c r="T69" s="26">
        <f t="shared" si="100"/>
        <v>0.61762243247985005</v>
      </c>
      <c r="U69" s="26">
        <f t="shared" si="100"/>
        <v>0.46838779839097988</v>
      </c>
      <c r="V69" s="26">
        <f t="shared" si="100"/>
        <v>0.53768612903849089</v>
      </c>
      <c r="W69" s="26">
        <f t="shared" si="100"/>
        <v>0.54006395505426052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>
      <c r="A70" s="1" t="s">
        <v>57</v>
      </c>
      <c r="B70" s="26">
        <f t="shared" ref="B70:W70" si="101">B55</f>
        <v>4.8556311289172944E-3</v>
      </c>
      <c r="C70" s="26">
        <f t="shared" si="101"/>
        <v>9.7121385378095726E-2</v>
      </c>
      <c r="D70" s="26">
        <f t="shared" si="101"/>
        <v>7.8882379203530625E-2</v>
      </c>
      <c r="E70" s="26">
        <f t="shared" si="101"/>
        <v>0.10335726228792368</v>
      </c>
      <c r="F70" s="26">
        <f t="shared" si="101"/>
        <v>4.1396452411421744E-2</v>
      </c>
      <c r="G70" s="26">
        <f t="shared" si="101"/>
        <v>2.1399810003365209E-2</v>
      </c>
      <c r="H70" s="26">
        <f t="shared" si="101"/>
        <v>0</v>
      </c>
      <c r="I70" s="26">
        <f t="shared" si="101"/>
        <v>2.7700157131601413E-2</v>
      </c>
      <c r="J70" s="26">
        <f t="shared" si="101"/>
        <v>0.26212226674325045</v>
      </c>
      <c r="K70" s="26">
        <f t="shared" si="101"/>
        <v>0.30403540800316486</v>
      </c>
      <c r="L70" s="26">
        <f t="shared" si="101"/>
        <v>2.6488679016539056E-2</v>
      </c>
      <c r="M70" s="26">
        <f t="shared" si="101"/>
        <v>5.9286748227541264E-2</v>
      </c>
      <c r="N70" s="26">
        <f t="shared" si="101"/>
        <v>0</v>
      </c>
      <c r="O70" s="26">
        <f t="shared" si="101"/>
        <v>6.9314318680415432E-2</v>
      </c>
      <c r="P70" s="26">
        <f t="shared" si="101"/>
        <v>4.0763085096832428E-2</v>
      </c>
      <c r="Q70" s="26">
        <f t="shared" si="101"/>
        <v>4.9521053360074938E-2</v>
      </c>
      <c r="R70" s="26">
        <f t="shared" si="101"/>
        <v>3.0257341430755036E-2</v>
      </c>
      <c r="S70" s="26">
        <f t="shared" si="101"/>
        <v>2.4165446565710669E-2</v>
      </c>
      <c r="T70" s="26">
        <f t="shared" si="101"/>
        <v>1.7150739698283495E-2</v>
      </c>
      <c r="U70" s="26">
        <f t="shared" si="101"/>
        <v>9.757795220478321E-3</v>
      </c>
      <c r="V70" s="26">
        <f t="shared" si="101"/>
        <v>3.1780216611577636E-2</v>
      </c>
      <c r="W70" s="26">
        <f t="shared" si="101"/>
        <v>2.7575487449194171E-2</v>
      </c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>
      <c r="A71" s="1" t="s">
        <v>58</v>
      </c>
      <c r="B71" s="26">
        <f t="shared" ref="B71:Q71" si="102">3-B51-B57-B55-B65</f>
        <v>0.95127508069104494</v>
      </c>
      <c r="C71" s="26">
        <f t="shared" si="102"/>
        <v>0.42751685908152787</v>
      </c>
      <c r="D71" s="26">
        <f t="shared" si="102"/>
        <v>0.28231598240377026</v>
      </c>
      <c r="E71" s="26">
        <f t="shared" si="102"/>
        <v>0.43605347991886562</v>
      </c>
      <c r="F71" s="26">
        <f t="shared" si="102"/>
        <v>0.60507880869072206</v>
      </c>
      <c r="G71" s="26">
        <f t="shared" si="102"/>
        <v>0.53097898396409815</v>
      </c>
      <c r="H71" s="26">
        <f t="shared" si="102"/>
        <v>0.40545750481841858</v>
      </c>
      <c r="I71" s="26">
        <f t="shared" si="102"/>
        <v>0.44636615431003096</v>
      </c>
      <c r="J71" s="26">
        <f t="shared" si="102"/>
        <v>0.22445284000919596</v>
      </c>
      <c r="K71" s="26">
        <f t="shared" si="102"/>
        <v>0.19860282934078577</v>
      </c>
      <c r="L71" s="26">
        <f t="shared" si="102"/>
        <v>0.22859535396227582</v>
      </c>
      <c r="M71" s="26">
        <f t="shared" si="102"/>
        <v>0.65914374675433773</v>
      </c>
      <c r="N71" s="26">
        <f t="shared" si="102"/>
        <v>0.72883597680841716</v>
      </c>
      <c r="O71" s="26">
        <f t="shared" si="102"/>
        <v>0.63011016940232878</v>
      </c>
      <c r="P71" s="26">
        <f t="shared" si="102"/>
        <v>0.55583420351913848</v>
      </c>
      <c r="Q71" s="26">
        <f t="shared" si="102"/>
        <v>0.49909769600455078</v>
      </c>
      <c r="R71" s="26">
        <f t="shared" ref="R71:W71" si="103">3-R51-R57-R55-R65</f>
        <v>0.20747601097279772</v>
      </c>
      <c r="S71" s="26">
        <f t="shared" si="103"/>
        <v>0.32909921591702335</v>
      </c>
      <c r="T71" s="26">
        <f t="shared" si="103"/>
        <v>0.14332956076103567</v>
      </c>
      <c r="U71" s="26">
        <f t="shared" si="103"/>
        <v>0.18402905038393108</v>
      </c>
      <c r="V71" s="26">
        <f t="shared" si="103"/>
        <v>0.56122059295149274</v>
      </c>
      <c r="W71" s="26">
        <f t="shared" si="103"/>
        <v>0.66576749038571614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>
      <c r="A72" s="1" t="s">
        <v>59</v>
      </c>
      <c r="B72" s="26">
        <f t="shared" ref="B72:Q72" si="104">B51+B57+B65-2</f>
        <v>4.3869288180037547E-2</v>
      </c>
      <c r="C72" s="26">
        <f t="shared" si="104"/>
        <v>0.47536175554037641</v>
      </c>
      <c r="D72" s="26">
        <f t="shared" si="104"/>
        <v>0.6388016383926991</v>
      </c>
      <c r="E72" s="26">
        <f t="shared" si="104"/>
        <v>0.46058925779321047</v>
      </c>
      <c r="F72" s="26">
        <f t="shared" si="104"/>
        <v>0.35352473889785596</v>
      </c>
      <c r="G72" s="26">
        <f t="shared" si="104"/>
        <v>0.44762120603253663</v>
      </c>
      <c r="H72" s="26">
        <f t="shared" si="104"/>
        <v>0.59454249518158164</v>
      </c>
      <c r="I72" s="26">
        <f t="shared" si="104"/>
        <v>0.52593368855836786</v>
      </c>
      <c r="J72" s="26">
        <f t="shared" si="104"/>
        <v>0.5134248932475538</v>
      </c>
      <c r="K72" s="26">
        <f t="shared" si="104"/>
        <v>0.49736176265604914</v>
      </c>
      <c r="L72" s="26">
        <f t="shared" si="104"/>
        <v>0.74491596702118512</v>
      </c>
      <c r="M72" s="26">
        <f t="shared" si="104"/>
        <v>0.28156950501812084</v>
      </c>
      <c r="N72" s="26">
        <f t="shared" si="104"/>
        <v>0.27116402319158261</v>
      </c>
      <c r="O72" s="26">
        <f t="shared" si="104"/>
        <v>0.30057551191725596</v>
      </c>
      <c r="P72" s="26">
        <f t="shared" si="104"/>
        <v>0.40340271138402883</v>
      </c>
      <c r="Q72" s="26">
        <f t="shared" si="104"/>
        <v>0.45138125063537426</v>
      </c>
      <c r="R72" s="26">
        <f t="shared" ref="R72:W72" si="105">R51+R57+R65-2</f>
        <v>0.76226664759644702</v>
      </c>
      <c r="S72" s="26">
        <f t="shared" si="105"/>
        <v>0.6467353375172662</v>
      </c>
      <c r="T72" s="26">
        <f t="shared" si="105"/>
        <v>0.83951969954068062</v>
      </c>
      <c r="U72" s="26">
        <f t="shared" si="105"/>
        <v>0.8062131543955906</v>
      </c>
      <c r="V72" s="26">
        <f t="shared" si="105"/>
        <v>0.40699919043692967</v>
      </c>
      <c r="W72" s="26">
        <f t="shared" si="105"/>
        <v>0.30665702216508972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>
      <c r="A73" s="1" t="s">
        <v>60</v>
      </c>
      <c r="B73" s="26">
        <f t="shared" ref="B73:Q73" si="106">(2-B51-B65)/2</f>
        <v>0.88178925405213382</v>
      </c>
      <c r="C73" s="26">
        <f t="shared" si="106"/>
        <v>0.34716793273337543</v>
      </c>
      <c r="D73" s="26">
        <f t="shared" si="106"/>
        <v>0.35948357914616413</v>
      </c>
      <c r="E73" s="26">
        <f t="shared" si="106"/>
        <v>4.3857850230269224E-2</v>
      </c>
      <c r="F73" s="26">
        <f t="shared" si="106"/>
        <v>0.41818680599991498</v>
      </c>
      <c r="G73" s="26">
        <f t="shared" si="106"/>
        <v>0.4144600845699854</v>
      </c>
      <c r="H73" s="26">
        <f t="shared" si="106"/>
        <v>0.33435007366128966</v>
      </c>
      <c r="I73" s="26">
        <f t="shared" si="106"/>
        <v>0.37131857751648678</v>
      </c>
      <c r="J73" s="26">
        <f t="shared" si="106"/>
        <v>0.20704167244947347</v>
      </c>
      <c r="K73" s="26">
        <f t="shared" si="106"/>
        <v>0.20295705707818967</v>
      </c>
      <c r="L73" s="26">
        <f t="shared" si="106"/>
        <v>0.2486560377090743</v>
      </c>
      <c r="M73" s="26">
        <f t="shared" si="106"/>
        <v>0.33491013476593223</v>
      </c>
      <c r="N73" s="26">
        <f t="shared" si="106"/>
        <v>0.56096526701923977</v>
      </c>
      <c r="O73" s="26">
        <f t="shared" si="106"/>
        <v>0.32916081244124917</v>
      </c>
      <c r="P73" s="26">
        <f t="shared" si="106"/>
        <v>0.31362312175910445</v>
      </c>
      <c r="Q73" s="26">
        <f t="shared" si="106"/>
        <v>0.31786755774574493</v>
      </c>
      <c r="R73" s="26">
        <f t="shared" ref="R73:W73" si="107">(2-R51-R65)/2</f>
        <v>0.28852307254171172</v>
      </c>
      <c r="S73" s="26">
        <f t="shared" si="107"/>
        <v>0.41116334556486256</v>
      </c>
      <c r="T73" s="26">
        <f t="shared" si="107"/>
        <v>0.25070599483396705</v>
      </c>
      <c r="U73" s="26">
        <f t="shared" si="107"/>
        <v>0.25533915468801305</v>
      </c>
      <c r="V73" s="26">
        <f t="shared" si="107"/>
        <v>0.43291666479400293</v>
      </c>
      <c r="W73" s="26">
        <f t="shared" si="107"/>
        <v>0.46133854483379655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>
      <c r="A74" s="1" t="s">
        <v>61</v>
      </c>
      <c r="B74" s="26">
        <f t="shared" ref="B74:Q74" si="108">B51/2</f>
        <v>9.787456184251267E-2</v>
      </c>
      <c r="C74" s="26">
        <f t="shared" si="108"/>
        <v>0.63793500883754128</v>
      </c>
      <c r="D74" s="26">
        <f t="shared" si="108"/>
        <v>0.6324666194595856</v>
      </c>
      <c r="E74" s="26">
        <f t="shared" si="108"/>
        <v>0.96797805317634922</v>
      </c>
      <c r="F74" s="26">
        <f t="shared" si="108"/>
        <v>0.58802770997707321</v>
      </c>
      <c r="G74" s="26">
        <f t="shared" si="108"/>
        <v>0.59985197632694331</v>
      </c>
      <c r="H74" s="26">
        <f t="shared" si="108"/>
        <v>0.66788106756925147</v>
      </c>
      <c r="I74" s="26">
        <f t="shared" si="108"/>
        <v>0.6188377115531053</v>
      </c>
      <c r="J74" s="26">
        <f t="shared" si="108"/>
        <v>0.77892431299505183</v>
      </c>
      <c r="K74" s="26">
        <f t="shared" si="108"/>
        <v>0.80147173902440294</v>
      </c>
      <c r="L74" s="26">
        <f t="shared" si="108"/>
        <v>0.75640104452720469</v>
      </c>
      <c r="M74" s="26">
        <f t="shared" si="108"/>
        <v>0.66268966774698446</v>
      </c>
      <c r="N74" s="26">
        <f t="shared" si="108"/>
        <v>1.1192166025130794</v>
      </c>
      <c r="O74" s="26">
        <f t="shared" si="108"/>
        <v>0.70007423836758342</v>
      </c>
      <c r="P74" s="26">
        <f t="shared" si="108"/>
        <v>0.68082473274915978</v>
      </c>
      <c r="Q74" s="26">
        <f t="shared" si="108"/>
        <v>0.67701437696647859</v>
      </c>
      <c r="R74" s="26">
        <f t="shared" ref="R74:W74" si="109">R51/2</f>
        <v>0.70042602598113846</v>
      </c>
      <c r="S74" s="26">
        <f t="shared" si="109"/>
        <v>0.56594260027063348</v>
      </c>
      <c r="T74" s="26">
        <f t="shared" si="109"/>
        <v>0.74262784447251307</v>
      </c>
      <c r="U74" s="26">
        <f t="shared" si="109"/>
        <v>0.71872738914716794</v>
      </c>
      <c r="V74" s="26">
        <f t="shared" si="109"/>
        <v>0.5715078728660018</v>
      </c>
      <c r="W74" s="26">
        <f t="shared" si="109"/>
        <v>0.54734490628248067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>
      <c r="B75" s="2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>
      <c r="A76" s="27" t="s">
        <v>104</v>
      </c>
      <c r="B76" s="26"/>
    </row>
    <row r="77" spans="1:41">
      <c r="A77" s="28">
        <v>1</v>
      </c>
      <c r="B77" s="25">
        <f>IF((B40+B41)&lt;8,"      no",(B40+B41))</f>
        <v>8</v>
      </c>
    </row>
    <row r="78" spans="1:41">
      <c r="A78" s="28">
        <v>2</v>
      </c>
      <c r="B78" s="26">
        <f>IF(B58&lt;15,"      no",B58)</f>
        <v>15.056748432922848</v>
      </c>
      <c r="C78" s="24"/>
      <c r="D78" s="24"/>
      <c r="E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</row>
    <row r="79" spans="1:41">
      <c r="A79" s="28">
        <v>3</v>
      </c>
      <c r="B79" s="26">
        <f>IF(B55&gt;B60,"      no",B55)</f>
        <v>4.8556311289172944E-3</v>
      </c>
      <c r="C79" s="24"/>
      <c r="D79" s="24"/>
      <c r="E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</row>
    <row r="80" spans="1:41">
      <c r="A80" s="28">
        <v>4</v>
      </c>
      <c r="B80" s="26">
        <f>IF((B51+B52)&gt;2.02,"      no",B51+B52)</f>
        <v>1.9513041181754005</v>
      </c>
      <c r="C80" s="24"/>
      <c r="D80" s="24"/>
      <c r="E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</row>
    <row r="81" spans="1:41">
      <c r="A81" s="28">
        <v>5</v>
      </c>
      <c r="B81" s="26">
        <f>IF(B51&gt;2,"      no",B51)</f>
        <v>0.19574912368502534</v>
      </c>
      <c r="C81" s="24"/>
      <c r="D81" s="24"/>
      <c r="E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</row>
    <row r="82" spans="1:41">
      <c r="A82" s="28">
        <v>6</v>
      </c>
      <c r="B82" s="26">
        <f>IF((ABS(B41-B52)&lt;B55+B55),"      no",(ABS(B41-B52)))</f>
        <v>1.6234641332616053</v>
      </c>
    </row>
    <row r="83" spans="1:41">
      <c r="A83" s="28">
        <v>7</v>
      </c>
      <c r="B83" s="26">
        <f>IF(B41&lt;(2*B43),"      no",B41)</f>
        <v>0.1320908612287699</v>
      </c>
    </row>
    <row r="84" spans="1:41">
      <c r="A84" s="28">
        <v>8</v>
      </c>
      <c r="B84" s="26">
        <f>IF(B49&lt;4.98,"      no",B49)</f>
        <v>5.0486958818245995</v>
      </c>
      <c r="C84" s="24"/>
      <c r="D84" s="24"/>
      <c r="E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</row>
    <row r="85" spans="1:41">
      <c r="A85" s="28">
        <v>9</v>
      </c>
      <c r="B85" s="26">
        <f>IF((B42+B43+B44+B60)&gt;2.4,"      no",(B42+B43+B44+B60))</f>
        <v>1.8263388960613123</v>
      </c>
      <c r="C85" s="24"/>
      <c r="D85" s="24"/>
      <c r="E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</row>
    <row r="86" spans="1:41">
      <c r="A86" s="28">
        <v>10</v>
      </c>
      <c r="B86" s="26">
        <f>IF(B58&gt;16,"      no",B58)</f>
        <v>15.056748432922848</v>
      </c>
      <c r="C86" s="24"/>
      <c r="D86" s="24"/>
      <c r="E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</row>
    <row r="87" spans="1:41">
      <c r="A87" s="29">
        <v>11</v>
      </c>
      <c r="B87" s="30">
        <f>IF(B40&lt;5,"      no",B40)</f>
        <v>7.8679091387712301</v>
      </c>
      <c r="C87" s="24"/>
      <c r="D87" s="24"/>
      <c r="E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</row>
    <row r="88" spans="1:41">
      <c r="A88" s="31" t="s">
        <v>105</v>
      </c>
      <c r="B88" s="32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</row>
    <row r="89" spans="1:41">
      <c r="A89" s="31" t="s">
        <v>106</v>
      </c>
      <c r="B89" s="32"/>
    </row>
    <row r="90" spans="1:41">
      <c r="A90" s="31" t="s">
        <v>107</v>
      </c>
      <c r="B90" s="32"/>
    </row>
    <row r="91" spans="1:41">
      <c r="A91" s="31" t="s">
        <v>108</v>
      </c>
      <c r="B91" s="32"/>
    </row>
    <row r="92" spans="1:41">
      <c r="A92" s="31" t="s">
        <v>109</v>
      </c>
      <c r="B92" s="32"/>
    </row>
    <row r="93" spans="1:41">
      <c r="A93" s="31" t="s">
        <v>110</v>
      </c>
      <c r="B93" s="26"/>
    </row>
    <row r="94" spans="1:41">
      <c r="A94" s="31" t="s">
        <v>111</v>
      </c>
      <c r="B94" s="26"/>
    </row>
    <row r="95" spans="1:41">
      <c r="A95" s="31" t="s">
        <v>112</v>
      </c>
    </row>
    <row r="96" spans="1:41">
      <c r="A96" s="31" t="s">
        <v>113</v>
      </c>
      <c r="B96" s="21"/>
    </row>
    <row r="97" spans="1:41">
      <c r="A97" s="31" t="s">
        <v>114</v>
      </c>
      <c r="B97" s="21"/>
    </row>
    <row r="98" spans="1:41">
      <c r="A98" s="31" t="s">
        <v>115</v>
      </c>
    </row>
    <row r="99" spans="1:41">
      <c r="A99" s="1"/>
    </row>
    <row r="100" spans="1:41">
      <c r="B100" s="25"/>
    </row>
    <row r="101" spans="1:41">
      <c r="B101" s="21"/>
    </row>
    <row r="102" spans="1:41">
      <c r="A102" s="1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</row>
    <row r="103" spans="1:41">
      <c r="B103" s="33"/>
    </row>
    <row r="105" spans="1:41" s="1" customFormat="1">
      <c r="A105"/>
      <c r="B105" s="19"/>
    </row>
    <row r="147" spans="3:3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3:3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3:3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3:33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3:3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3:3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3:3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3:3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3:3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3:3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8" spans="3:3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3:3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1" spans="3:3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3:3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3:3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3:3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3:3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3:3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3:3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3:3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3:3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3:3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3:3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3:3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3:3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3:33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3:33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3:33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3:33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3:33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99"/>
  <sheetViews>
    <sheetView workbookViewId="0">
      <selection activeCell="A19" sqref="A19"/>
    </sheetView>
  </sheetViews>
  <sheetFormatPr baseColWidth="10" defaultColWidth="11.42578125" defaultRowHeight="14"/>
  <cols>
    <col min="1" max="1" width="7.140625" customWidth="1"/>
    <col min="2" max="3" width="5.85546875" customWidth="1"/>
    <col min="4" max="16" width="5.28515625" customWidth="1"/>
    <col min="17" max="17" width="5.85546875" customWidth="1"/>
    <col min="18" max="18" width="5.42578125" customWidth="1"/>
    <col min="19" max="27" width="5.28515625" customWidth="1"/>
    <col min="28" max="31" width="6.7109375" customWidth="1"/>
    <col min="32" max="252" width="11" customWidth="1"/>
  </cols>
  <sheetData>
    <row r="1" spans="1:24" s="17" customFormat="1" ht="13"/>
    <row r="3" spans="1:24" s="2" customFormat="1">
      <c r="A3" s="34" t="s">
        <v>0</v>
      </c>
      <c r="B3" s="35" t="s">
        <v>116</v>
      </c>
      <c r="C3" s="35" t="s">
        <v>116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4" s="2" customFormat="1">
      <c r="A4" s="34" t="s">
        <v>4</v>
      </c>
      <c r="B4" s="35">
        <v>1</v>
      </c>
      <c r="C4" s="35" t="s">
        <v>117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4">
      <c r="A5" s="24" t="s">
        <v>5</v>
      </c>
      <c r="B5" s="4">
        <v>6.52</v>
      </c>
      <c r="C5" s="4">
        <v>5.94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4"/>
      <c r="T5" s="4"/>
      <c r="U5" s="4"/>
      <c r="V5" s="4"/>
      <c r="W5" s="4"/>
      <c r="X5" s="4"/>
    </row>
    <row r="6" spans="1:24">
      <c r="A6" s="24" t="s">
        <v>6</v>
      </c>
      <c r="B6" s="4">
        <v>0.08</v>
      </c>
      <c r="C6" s="4">
        <v>0.06</v>
      </c>
      <c r="D6" s="24"/>
      <c r="E6" s="24"/>
      <c r="F6" s="24"/>
      <c r="G6" s="24"/>
      <c r="H6" s="24"/>
      <c r="I6" s="24"/>
      <c r="J6" s="24"/>
      <c r="K6" s="24"/>
      <c r="L6" s="24"/>
      <c r="M6" s="36"/>
      <c r="N6" s="36"/>
      <c r="O6" s="36"/>
      <c r="P6" s="36"/>
      <c r="Q6" s="36"/>
      <c r="R6" s="36"/>
      <c r="S6" s="4"/>
      <c r="T6" s="4"/>
      <c r="U6" s="4"/>
      <c r="V6" s="4"/>
      <c r="W6" s="4"/>
      <c r="X6" s="4"/>
    </row>
    <row r="7" spans="1:24">
      <c r="A7" s="24" t="s">
        <v>7</v>
      </c>
      <c r="B7" s="4">
        <v>1.67</v>
      </c>
      <c r="C7" s="4">
        <v>1.4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4"/>
      <c r="T7" s="4"/>
      <c r="U7" s="4"/>
      <c r="V7" s="4"/>
      <c r="W7" s="4"/>
      <c r="X7" s="4"/>
    </row>
    <row r="8" spans="1:24">
      <c r="A8" s="24" t="s">
        <v>8</v>
      </c>
      <c r="B8" s="4">
        <v>0.18</v>
      </c>
      <c r="C8" s="4">
        <v>0.01</v>
      </c>
      <c r="D8" s="24"/>
      <c r="E8" s="24"/>
      <c r="F8" s="24"/>
      <c r="G8" s="24"/>
      <c r="H8" s="24"/>
      <c r="I8" s="24"/>
      <c r="J8" s="24"/>
      <c r="K8" s="24"/>
      <c r="L8" s="24"/>
      <c r="M8" s="36"/>
      <c r="N8" s="36"/>
      <c r="O8" s="36"/>
      <c r="P8" s="36"/>
      <c r="Q8" s="36"/>
      <c r="R8" s="36"/>
      <c r="S8" s="4"/>
      <c r="T8" s="4"/>
      <c r="U8" s="4"/>
      <c r="V8" s="4"/>
      <c r="W8" s="4"/>
      <c r="X8" s="4"/>
    </row>
    <row r="9" spans="1:24">
      <c r="A9" s="24" t="s">
        <v>9</v>
      </c>
      <c r="B9" s="4">
        <v>0</v>
      </c>
      <c r="C9" s="4"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4"/>
      <c r="T9" s="4"/>
      <c r="U9" s="4"/>
      <c r="V9" s="4"/>
      <c r="W9" s="4"/>
      <c r="X9" s="4"/>
    </row>
    <row r="10" spans="1:24">
      <c r="A10" s="24" t="s">
        <v>118</v>
      </c>
      <c r="B10" s="4">
        <v>6.99</v>
      </c>
      <c r="C10" s="4">
        <v>14.45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4"/>
      <c r="T10" s="4"/>
      <c r="U10" s="4"/>
      <c r="V10" s="4"/>
      <c r="W10" s="4"/>
      <c r="X10" s="4"/>
    </row>
    <row r="11" spans="1:24">
      <c r="A11" s="24" t="s">
        <v>11</v>
      </c>
      <c r="B11" s="4">
        <v>0</v>
      </c>
      <c r="C11" s="4">
        <v>0</v>
      </c>
      <c r="D11" s="24"/>
      <c r="E11" s="24"/>
      <c r="F11" s="24"/>
      <c r="G11" s="24"/>
      <c r="H11" s="24"/>
      <c r="I11" s="24"/>
      <c r="J11" s="24"/>
      <c r="K11" s="24"/>
      <c r="L11" s="24"/>
      <c r="M11" s="36"/>
      <c r="N11" s="36"/>
      <c r="O11" s="36"/>
      <c r="P11" s="36"/>
      <c r="Q11" s="36"/>
      <c r="R11" s="36"/>
    </row>
    <row r="12" spans="1:24">
      <c r="A12" s="24" t="s">
        <v>12</v>
      </c>
      <c r="B12" s="4">
        <v>1.51</v>
      </c>
      <c r="C12" s="4">
        <v>1.31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4"/>
      <c r="T12" s="4"/>
      <c r="U12" s="4"/>
      <c r="V12" s="4"/>
      <c r="W12" s="4"/>
      <c r="X12" s="4"/>
    </row>
    <row r="13" spans="1:24">
      <c r="A13" s="24" t="s">
        <v>13</v>
      </c>
      <c r="B13" s="4">
        <v>38.56</v>
      </c>
      <c r="C13" s="4">
        <v>34.799999999999997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4"/>
      <c r="T13" s="4"/>
      <c r="U13" s="4"/>
      <c r="V13" s="4"/>
      <c r="W13" s="4"/>
      <c r="X13" s="4"/>
    </row>
    <row r="14" spans="1:24">
      <c r="A14" s="24" t="s">
        <v>14</v>
      </c>
      <c r="B14" s="4">
        <v>18.920000000000002</v>
      </c>
      <c r="C14" s="4">
        <v>17.77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4"/>
      <c r="T14" s="4"/>
      <c r="U14" s="4"/>
      <c r="V14" s="4"/>
      <c r="W14" s="4"/>
      <c r="X14" s="4"/>
    </row>
    <row r="15" spans="1:24">
      <c r="A15" s="24" t="s">
        <v>15</v>
      </c>
      <c r="B15" s="4">
        <v>18.62</v>
      </c>
      <c r="C15" s="4">
        <v>14.62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24" s="4" customFormat="1">
      <c r="A16" s="4" t="s">
        <v>119</v>
      </c>
      <c r="B16" s="4">
        <f>-10.7325+0.0705*B13+0.4598*B7+0.3067*B14+0.8433*B10+0.288*B9-0.0581*B15-0.0765*B6-1.1294*B12+0.4172*B5</f>
        <v>4.3780849999999996</v>
      </c>
      <c r="C16" s="4">
        <f>-10.7325+0.0705*C13+0.4598*C7+0.3067*C14+0.8433*C10+0.288*C9-0.0581*C15-0.0765*C6-1.1294*C12+0.4172*C5</f>
        <v>10.145005999999999</v>
      </c>
    </row>
    <row r="17" spans="1:31" s="4" customFormat="1">
      <c r="A17" s="4" t="s">
        <v>120</v>
      </c>
      <c r="B17" s="4">
        <f>IF(((B10-B16)*1.1)&gt;0,((B10-B16)*1.1),0)</f>
        <v>2.8731065000000009</v>
      </c>
      <c r="C17" s="4">
        <f>IF(((C10-C16)*1.1)&gt;0,((C10-C16)*1.1),0)</f>
        <v>4.7354934000000011</v>
      </c>
    </row>
    <row r="18" spans="1:31">
      <c r="A18" s="1" t="s">
        <v>16</v>
      </c>
      <c r="B18" s="4">
        <f>B5+B6+B7+B9+B8+B12+B13+B14+B15+B11+B16+B17</f>
        <v>93.311191500000007</v>
      </c>
      <c r="C18" s="4">
        <f>C5+C6+C7+C9+C8+C12+C13+C14+C15+C11+C16+C17</f>
        <v>90.790499399999987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31">
      <c r="A19" s="1" t="s">
        <v>121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1">
      <c r="A20" t="s">
        <v>18</v>
      </c>
      <c r="B20" s="5">
        <f>B13/60.09*(11/((B5/94.2)+(B6/56.08)+(B7/79.9*2)+(B9/70.94)+(B8/152.02*3)+(B12/61.982)+(B13/60.09*2)+(B14/101.94*3)+(B15/40.32)+(B11/74.71)+(B16/71.85)+(B17/159.7*3)))</f>
        <v>2.7602607141177389</v>
      </c>
      <c r="C20" s="5">
        <f>C13/60.09*(11/((C5/94.2)+(C6/56.08)+(C7/79.9*2)+(C9/70.94)+(C8/152.02*3)+(C12/61.982)+(C13/60.09*2)+(C14/101.94*3)+(C15/40.32)+(C11/74.71)+(C16/71.85)+(C17/159.7*3)))</f>
        <v>2.6604771664416726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>
      <c r="A21" t="s">
        <v>122</v>
      </c>
      <c r="B21" s="5">
        <f>IF((B14/101.94*(11/((B5/94.2)+(B6/56.08)+(B7/79.9*2)+(B9/70.94)+(B8/152.02*3)+(B12/61.982)+(B13/60.09*2)+(B14/101.94*3)+(B15/40.32)+(B11/74.71)+(B16/71.85)+(B17/159.7*3)))*2)&gt;4-B20,4-B20,(B14/101.94*(11/((B5/94.2)+(B6/56.08)+(B7/79.9*2)+(B9/70.94)+(B8/152.02*3)+(B12/61.982)+(B13/60.09*2)+(B14/101.94*3)+(B15/40.32)+(B11/74.71)+(B16/71.85)+(B17/159.7*3)))*2))</f>
        <v>1.2397392858822611</v>
      </c>
      <c r="C21" s="5">
        <f>IF((C14/101.94*(11/((C5/94.2)+(C6/56.08)+(C7/79.9*2)+(C9/70.94)+(C8/152.02*3)+(C12/61.982)+(C13/60.09*2)+(C14/101.94*3)+(C15/40.32)+(C11/74.71)+(C16/71.85)+(C17/159.7*3)))*2)&gt;4-C20,4-C20,(C14/101.94*(11/((C5/94.2)+(C6/56.08)+(C7/79.9*2)+(C9/70.94)+(C8/152.02*3)+(C12/61.982)+(C13/60.09*2)+(C14/101.94*3)+(C15/40.32)+(C11/74.71)+(C16/71.85)+(C17/159.7*3)))*2))</f>
        <v>1.3395228335583274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>
      <c r="A22" t="s">
        <v>123</v>
      </c>
      <c r="B22" s="5">
        <f>IF(((B14/101.94*(11/((B5/94.2)+(B6/56.08)+(B7/79.9*2)+(B9/70.94)+(B8/152.02*3)+(B12/61.982)+(B13/60.09*2)+(B14/101.94*3)+(B15/40.32)+(B11/74.71)+(B16/71.85)+(B17/159.7*3)))*2)-B21)&gt;0,((B14/101.94*(11/((B5/94.2)+(B6/56.08)+(B7/79.9*2)+(B9/70.94)+(B8/152.02*3)+(B12/61.982)+(B13/60.09*2)+(B14/101.94*3)+(B15/40.32)+(B11/74.71)+(B16/71.85)+(B17/159.7*3)))*2)-B21),0)</f>
        <v>0.35695503852428168</v>
      </c>
      <c r="C22" s="5">
        <f>IF(((C14/101.94*(11/((C5/94.2)+(C6/56.08)+(C7/79.9*2)+(C9/70.94)+(C8/152.02*3)+(C12/61.982)+(C13/60.09*2)+(C14/101.94*3)+(C15/40.32)+(C11/74.71)+(C16/71.85)+(C17/159.7*3)))*2)-C21)&gt;0,((C14/101.94*(11/((C5/94.2)+(C6/56.08)+(C7/79.9*2)+(C9/70.94)+(C8/152.02*3)+(C12/61.982)+(C13/60.09*2)+(C14/101.94*3)+(C15/40.32)+(C11/74.71)+(C16/71.85)+(C17/159.7*3)))*2)-C21),0)</f>
        <v>0.26208170279977483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>
      <c r="A23" t="s">
        <v>20</v>
      </c>
      <c r="B23" s="5">
        <f>B7/79.9*(11/((B5/94.2)+(B6/56.08)+(B7/79.9*2)+(B9/70.94)+(B8/152.02*3)+(B12/61.982)+(B13/60.09*2)+(B14/101.94*3)+(B15/40.32)+(B11/74.71)+(B16/71.85)+(B17/159.7*3)))</f>
        <v>8.9905233830906789E-2</v>
      </c>
      <c r="C23" s="5">
        <f>C7/79.9*(11/((C5/94.2)+(C6/56.08)+(C7/79.9*2)+(C9/70.94)+(C8/152.02*3)+(C12/61.982)+(C13/60.09*2)+(C14/101.94*3)+(C15/40.32)+(C11/74.71)+(C16/71.85)+(C17/159.7*3)))</f>
        <v>8.0494045036206247E-2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>
      <c r="A24" t="s">
        <v>21</v>
      </c>
      <c r="B24" s="5">
        <f>B8/152.02*(11/((B5/94.2)+(B6/56.08)+(B7/79.9*2)+(B9/70.94)+(B8/152.02*3)+(B12/61.982)+(B13/60.09*2)+(B14/101.94*3)+(B15/40.32)+(B11/74.71)+(B16/71.85)+(B17/159.7*3)))*2</f>
        <v>1.0186313910445928E-2</v>
      </c>
      <c r="C24" s="5">
        <f>C8/152.02*(11/((C5/94.2)+(C6/56.08)+(C7/79.9*2)+(C9/70.94)+(C8/152.02*3)+(C12/61.982)+(C13/60.09*2)+(C14/101.94*3)+(C15/40.32)+(C11/74.71)+(C16/71.85)+(C17/159.7*3)))*2</f>
        <v>6.0438233675953149E-4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>
      <c r="A25" t="s">
        <v>124</v>
      </c>
      <c r="B25" s="5">
        <f>B17/159.7*(11/((B5/94.2)+(B6/56.08)+(B7/79.9*2)+(B9/70.94)+(B8/152.02*3)+(B12/61.982)+(B13/60.09*2)+(B14/101.94*3)+(B15/40.32)+(B11/74.71)+(B16/71.85)+(B17/159.7*3)))*2</f>
        <v>0.15477189044666465</v>
      </c>
      <c r="C25" s="5">
        <f>C17/159.7*(11/((C5/94.2)+(C6/56.08)+(C7/79.9*2)+(C9/70.94)+(C8/152.02*3)+(C12/61.982)+(C13/60.09*2)+(C14/101.94*3)+(C15/40.32)+(C11/74.71)+(C16/71.85)+(C17/159.7*3)))*2</f>
        <v>0.27244121673458965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>
      <c r="A26" t="s">
        <v>22</v>
      </c>
      <c r="B26" s="5">
        <f>B16/71.85*(11/((B5/94.2)+(B6/56.08)+(B7/79.9*2)+(B9/70.94)+(B8/152.02*3)+(B12/61.982)+(B13/60.09*2)+(B14/101.94*3)+(B15/40.32)+(B11/74.71)+(B16/71.85)+(B17/159.7*3)))</f>
        <v>0.26210342719122248</v>
      </c>
      <c r="C26" s="5">
        <f>C16/71.85*(11/((C5/94.2)+(C6/56.08)+(C7/79.9*2)+(C9/70.94)+(C8/152.02*3)+(C12/61.982)+(C13/60.09*2)+(C14/101.94*3)+(C15/40.32)+(C11/74.71)+(C16/71.85)+(C17/159.7*3)))</f>
        <v>0.6486464293820553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>
      <c r="A27" t="s">
        <v>23</v>
      </c>
      <c r="B27" s="5">
        <f>B9/70.94*(11/((B5/94.2)+(B6/56.08)+(B7/79.9*2)+(B9/70.94)+(B8/152.02*3)+(B12/61.982)+(B13/60.09*2)+(B14/101.94*3)+(B15/40.32)+(B11/74.71)+(B16/71.85)+(B17/159.7*3)))</f>
        <v>0</v>
      </c>
      <c r="C27" s="5">
        <f>C9/70.94*(11/((C5/94.2)+(C6/56.08)+(C7/79.9*2)+(C9/70.94)+(C8/152.02*3)+(C12/61.982)+(C13/60.09*2)+(C14/101.94*3)+(C15/40.32)+(C11/74.71)+(C16/71.85)+(C17/159.7*3)))</f>
        <v>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>
      <c r="A28" t="s">
        <v>24</v>
      </c>
      <c r="B28" s="5">
        <f>B15/40.32*(11/((B5/94.2)+(B6/56.08)+(B7/79.9*2)+(B9/70.94)+(B8/152.02*3)+(B12/61.982)+(B13/60.09*2)+(B14/101.94*3)+(B15/40.32)+(B11/74.71)+(B16/71.85)+(B17/159.7*3)))</f>
        <v>1.9864353550209943</v>
      </c>
      <c r="C28" s="5">
        <f>C15/40.32*(11/((C5/94.2)+(C6/56.08)+(C7/79.9*2)+(C9/70.94)+(C8/152.02*3)+(C12/61.982)+(C13/60.09*2)+(C14/101.94*3)+(C15/40.32)+(C11/74.71)+(C16/71.85)+(C17/159.7*3)))</f>
        <v>1.6657481714233255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>
      <c r="A29" t="s">
        <v>25</v>
      </c>
      <c r="B29" s="5">
        <f>B11/74.71*(11/((B5/94.2)+(B6/56.08)+(B7/79.9*2)+(B9/70.94)+(B8/152.02*3)+(B12/61.982)+(B13/60.09*2)+(B14/101.94*3)+(B15/40.32)+(B11/74.71)+(B16/71.85)+(B17/159.7*3)))</f>
        <v>0</v>
      </c>
      <c r="C29" s="5">
        <f>C11/74.71*(11/((C5/94.2)+(C6/56.08)+(C7/79.9*2)+(C9/70.94)+(C8/152.02*3)+(C12/61.982)+(C13/60.09*2)+(C14/101.94*3)+(C15/40.32)+(C11/74.71)+(C16/71.85)+(C17/159.7*3)))</f>
        <v>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>
      <c r="A30" t="s">
        <v>26</v>
      </c>
      <c r="B30" s="5">
        <f>B6/56.08*(11/((B5/94.2)+(B6/56.08)+(B7/79.9*2)+(B9/70.94)+(B8/152.02*3)+(B12/61.982)+(B13/60.09*2)+(B14/101.94*3)+(B15/40.32)+(B11/74.71)+(B16/71.85)+(B17/159.7*3)))</f>
        <v>6.1361683335948254E-3</v>
      </c>
      <c r="C30" s="5">
        <f>C6/56.08*(11/((C5/94.2)+(C6/56.08)+(C7/79.9*2)+(C9/70.94)+(C8/152.02*3)+(C12/61.982)+(C13/60.09*2)+(C14/101.94*3)+(C15/40.32)+(C11/74.71)+(C16/71.85)+(C17/159.7*3)))</f>
        <v>4.9150251159513544E-3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>
      <c r="A31" t="s">
        <v>27</v>
      </c>
      <c r="B31" s="5">
        <f>B12/61.982*(11/((B5/94.2)+(B6/56.08)+(B7/79.9*2)+(B9/70.94)+(B8/152.02*3)+(B12/61.982)+(B13/60.09*2)+(B14/101.94*3)+(B15/40.32)+(B11/74.71)+(B16/71.85)+(B17/159.7*3)))*2</f>
        <v>0.20958328362406695</v>
      </c>
      <c r="C31" s="5">
        <f>C12/61.982*(11/((C5/94.2)+(C6/56.08)+(C7/79.9*2)+(C9/70.94)+(C8/152.02*3)+(C12/61.982)+(C13/60.09*2)+(C14/101.94*3)+(C15/40.32)+(C11/74.71)+(C16/71.85)+(C17/159.7*3)))*2</f>
        <v>0.19418612776738575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>
      <c r="A32" t="s">
        <v>28</v>
      </c>
      <c r="B32" s="5">
        <f>B5/94.2*(11/((B5/94.2)+(B6/56.08)+(B7/79.9*2)+(B9/70.94)+(B8/152.02*3)+(B12/61.982)+(B13/60.09*2)+(B14/101.94*3)+(B15/40.32)+(B11/74.71)+(B16/71.85)+(B17/159.7*3)))*2</f>
        <v>0.59544543719876475</v>
      </c>
      <c r="C32" s="5">
        <f>C5/94.2*(11/((C5/94.2)+(C6/56.08)+(C7/79.9*2)+(C9/70.94)+(C8/152.02*3)+(C12/61.982)+(C13/60.09*2)+(C14/101.94*3)+(C15/40.32)+(C11/74.71)+(C16/71.85)+(C17/159.7*3)))*2</f>
        <v>0.57935936819007738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19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9" s="7" customFormat="1">
      <c r="A34" s="7" t="s">
        <v>125</v>
      </c>
      <c r="B34" s="5">
        <f>B28/(B28+B26)</f>
        <v>0.88343388636892761</v>
      </c>
      <c r="C34" s="5">
        <f>C28/(C28+C26)</f>
        <v>0.71973386510825155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9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168" spans="2:31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2:31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2:31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2:3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2:31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2:31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2:31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2:31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2:31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2:31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9" spans="2:31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2:3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2" spans="2:3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2:3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2:3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2:3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2:3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2:3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2:3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2:3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2:3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2:3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2:31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2:31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2:31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2:31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2:31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2:31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2:31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2:3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</sheetData>
  <printOptions gridLines="1" gridLinesSet="0"/>
  <pageMargins left="0.75" right="0.75" top="1" bottom="1" header="0.5" footer="0.5"/>
  <pageSetup paperSize="9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3"/>
  <sheetViews>
    <sheetView topLeftCell="A15" workbookViewId="0">
      <selection activeCell="B27" sqref="B27"/>
    </sheetView>
  </sheetViews>
  <sheetFormatPr baseColWidth="10" defaultRowHeight="16"/>
  <cols>
    <col min="1" max="16384" width="10.7109375" style="101"/>
  </cols>
  <sheetData>
    <row r="1" spans="1:13">
      <c r="B1" s="101" t="s">
        <v>126</v>
      </c>
    </row>
    <row r="2" spans="1:13">
      <c r="B2" s="101" t="s">
        <v>127</v>
      </c>
    </row>
    <row r="4" spans="1:13">
      <c r="B4" s="101" t="s">
        <v>128</v>
      </c>
      <c r="J4" s="101" t="s">
        <v>129</v>
      </c>
    </row>
    <row r="5" spans="1:13">
      <c r="A5" s="101" t="s">
        <v>130</v>
      </c>
      <c r="B5" s="101" t="s">
        <v>131</v>
      </c>
      <c r="C5" s="101" t="s">
        <v>132</v>
      </c>
      <c r="D5" s="101" t="s">
        <v>133</v>
      </c>
      <c r="E5" s="101" t="s">
        <v>134</v>
      </c>
      <c r="F5" s="101" t="s">
        <v>134</v>
      </c>
      <c r="G5" s="101" t="s">
        <v>135</v>
      </c>
      <c r="H5" s="101" t="s">
        <v>135</v>
      </c>
      <c r="I5" s="101" t="s">
        <v>135</v>
      </c>
      <c r="J5" s="101" t="s">
        <v>136</v>
      </c>
      <c r="K5" s="101" t="s">
        <v>137</v>
      </c>
      <c r="L5" s="101" t="s">
        <v>138</v>
      </c>
      <c r="M5" s="101" t="s">
        <v>139</v>
      </c>
    </row>
    <row r="6" spans="1:13">
      <c r="A6" s="101" t="s">
        <v>140</v>
      </c>
      <c r="B6" s="101" t="s">
        <v>141</v>
      </c>
      <c r="C6" s="101" t="s">
        <v>142</v>
      </c>
      <c r="D6" s="101" t="s">
        <v>143</v>
      </c>
      <c r="E6" s="101" t="s">
        <v>144</v>
      </c>
      <c r="F6" s="101" t="s">
        <v>145</v>
      </c>
      <c r="G6" s="101" t="s">
        <v>146</v>
      </c>
      <c r="H6" s="101" t="s">
        <v>147</v>
      </c>
      <c r="I6" s="101" t="s">
        <v>148</v>
      </c>
      <c r="J6" s="101">
        <v>2</v>
      </c>
      <c r="K6" s="101">
        <v>3</v>
      </c>
      <c r="L6" s="101">
        <v>26</v>
      </c>
      <c r="M6" s="101">
        <v>30</v>
      </c>
    </row>
    <row r="7" spans="1:13">
      <c r="A7" s="101" t="s">
        <v>13</v>
      </c>
      <c r="B7" s="101">
        <v>23.22</v>
      </c>
      <c r="C7" s="101">
        <v>25.11</v>
      </c>
      <c r="D7" s="101">
        <v>25.01</v>
      </c>
      <c r="E7" s="101">
        <v>27.83</v>
      </c>
      <c r="F7" s="101">
        <v>27.88</v>
      </c>
      <c r="G7" s="101">
        <v>23.52</v>
      </c>
      <c r="H7" s="101">
        <v>26.74</v>
      </c>
      <c r="I7" s="101">
        <v>22.99</v>
      </c>
      <c r="J7" s="101">
        <v>27.64</v>
      </c>
      <c r="K7" s="101">
        <v>25.62</v>
      </c>
      <c r="L7" s="101">
        <v>30.3</v>
      </c>
      <c r="M7" s="101">
        <v>28.32</v>
      </c>
    </row>
    <row r="8" spans="1:13">
      <c r="A8" s="101" t="s">
        <v>7</v>
      </c>
      <c r="B8" s="101">
        <v>7.0000000000000007E-2</v>
      </c>
      <c r="C8" s="101">
        <v>0.14000000000000001</v>
      </c>
      <c r="D8" s="101">
        <v>0.12</v>
      </c>
      <c r="E8" s="101">
        <v>0.1</v>
      </c>
      <c r="F8" s="101">
        <v>0.1</v>
      </c>
      <c r="G8" s="101">
        <v>7.0000000000000007E-2</v>
      </c>
      <c r="H8" s="101">
        <v>0.15</v>
      </c>
      <c r="I8" s="101">
        <v>7.0000000000000007E-2</v>
      </c>
      <c r="J8" s="101">
        <v>0.22</v>
      </c>
      <c r="K8" s="101">
        <v>0.88</v>
      </c>
      <c r="L8" s="101">
        <v>0</v>
      </c>
      <c r="M8" s="101">
        <v>0.09</v>
      </c>
    </row>
    <row r="9" spans="1:13">
      <c r="A9" s="101" t="s">
        <v>14</v>
      </c>
      <c r="B9" s="101">
        <v>19.670000000000002</v>
      </c>
      <c r="C9" s="101">
        <v>18.72</v>
      </c>
      <c r="D9" s="101">
        <v>21.38</v>
      </c>
      <c r="E9" s="101">
        <v>18.02</v>
      </c>
      <c r="F9" s="101">
        <v>17.77</v>
      </c>
      <c r="G9" s="101">
        <v>19.38</v>
      </c>
      <c r="H9" s="101">
        <v>19.489999999999998</v>
      </c>
      <c r="I9" s="101">
        <v>19.239999999999998</v>
      </c>
      <c r="J9" s="101">
        <v>22.48</v>
      </c>
      <c r="K9" s="101">
        <v>21.19</v>
      </c>
      <c r="L9" s="101">
        <v>18.25</v>
      </c>
      <c r="M9" s="101">
        <v>19.03</v>
      </c>
    </row>
    <row r="10" spans="1:13">
      <c r="A10" s="101" t="s">
        <v>10</v>
      </c>
      <c r="B10" s="101">
        <v>40.53</v>
      </c>
      <c r="C10" s="101">
        <v>36.11</v>
      </c>
      <c r="D10" s="101">
        <v>34.869999999999997</v>
      </c>
      <c r="E10" s="101">
        <v>23.15</v>
      </c>
      <c r="F10" s="101">
        <v>23.04</v>
      </c>
      <c r="G10" s="101">
        <v>38.340000000000003</v>
      </c>
      <c r="H10" s="101">
        <v>34.97</v>
      </c>
      <c r="I10" s="101">
        <v>37.450000000000003</v>
      </c>
      <c r="J10" s="101">
        <v>12.11</v>
      </c>
      <c r="K10" s="101">
        <v>25.04</v>
      </c>
      <c r="L10" s="101">
        <v>6.36</v>
      </c>
      <c r="M10" s="101">
        <v>15.92</v>
      </c>
    </row>
    <row r="11" spans="1:13">
      <c r="A11" s="101" t="s">
        <v>9</v>
      </c>
      <c r="B11" s="101">
        <v>3.06</v>
      </c>
      <c r="C11" s="101">
        <v>1.1000000000000001</v>
      </c>
      <c r="D11" s="101">
        <v>0.93</v>
      </c>
      <c r="E11" s="101">
        <v>1.19</v>
      </c>
      <c r="F11" s="101">
        <v>1.19</v>
      </c>
      <c r="G11" s="101">
        <v>1.64</v>
      </c>
      <c r="H11" s="101">
        <v>1.4</v>
      </c>
      <c r="I11" s="101">
        <v>1.84</v>
      </c>
      <c r="J11" s="101">
        <v>0.02</v>
      </c>
      <c r="K11" s="101">
        <v>0.35</v>
      </c>
      <c r="L11" s="101">
        <v>0</v>
      </c>
      <c r="M11" s="101">
        <v>0.09</v>
      </c>
    </row>
    <row r="12" spans="1:13">
      <c r="A12" s="101" t="s">
        <v>15</v>
      </c>
      <c r="B12" s="101">
        <v>2.11</v>
      </c>
      <c r="C12" s="101">
        <v>6.76</v>
      </c>
      <c r="D12" s="101">
        <v>5.29</v>
      </c>
      <c r="E12" s="101">
        <v>15.81</v>
      </c>
      <c r="F12" s="101">
        <v>15.91</v>
      </c>
      <c r="G12" s="101">
        <v>4.09</v>
      </c>
      <c r="H12" s="101">
        <v>3.94</v>
      </c>
      <c r="I12" s="101">
        <v>4.47</v>
      </c>
      <c r="J12" s="101">
        <v>24.32</v>
      </c>
      <c r="K12" s="101">
        <v>15.28</v>
      </c>
      <c r="L12" s="101">
        <v>32.659999999999997</v>
      </c>
      <c r="M12" s="101">
        <v>23.72</v>
      </c>
    </row>
    <row r="13" spans="1:13">
      <c r="A13" s="101" t="s">
        <v>6</v>
      </c>
      <c r="B13" s="101">
        <v>0.03</v>
      </c>
      <c r="C13" s="101">
        <v>7.0000000000000007E-2</v>
      </c>
      <c r="D13" s="101">
        <v>0</v>
      </c>
      <c r="E13" s="101">
        <v>0.08</v>
      </c>
      <c r="F13" s="101">
        <v>0.08</v>
      </c>
      <c r="G13" s="101">
        <v>0.03</v>
      </c>
      <c r="H13" s="101">
        <v>0.08</v>
      </c>
      <c r="I13" s="101">
        <v>0.03</v>
      </c>
      <c r="J13" s="101">
        <v>0</v>
      </c>
      <c r="K13" s="101">
        <v>0.16</v>
      </c>
      <c r="M13" s="101">
        <v>0.62</v>
      </c>
    </row>
    <row r="14" spans="1:13">
      <c r="A14" s="101" t="s">
        <v>12</v>
      </c>
      <c r="B14" s="101">
        <v>0.02</v>
      </c>
      <c r="C14" s="101">
        <v>0.02</v>
      </c>
      <c r="D14" s="101">
        <v>0.04</v>
      </c>
      <c r="E14" s="101">
        <v>0</v>
      </c>
      <c r="F14" s="101">
        <v>0.04</v>
      </c>
      <c r="G14" s="101">
        <v>0.02</v>
      </c>
      <c r="H14" s="101">
        <v>0.04</v>
      </c>
      <c r="I14" s="101">
        <v>0.02</v>
      </c>
      <c r="J14" s="101">
        <v>0.17</v>
      </c>
      <c r="L14" s="101">
        <v>0.03</v>
      </c>
      <c r="M14" s="101">
        <v>0.01</v>
      </c>
    </row>
    <row r="15" spans="1:13">
      <c r="A15" s="101" t="s">
        <v>5</v>
      </c>
      <c r="B15" s="101">
        <v>0</v>
      </c>
      <c r="C15" s="101">
        <v>0.1</v>
      </c>
      <c r="D15" s="101">
        <v>0.16</v>
      </c>
      <c r="E15" s="101">
        <v>0.14000000000000001</v>
      </c>
      <c r="F15" s="101">
        <v>0.13</v>
      </c>
      <c r="G15" s="101">
        <v>0.03</v>
      </c>
      <c r="H15" s="101">
        <v>1.03</v>
      </c>
      <c r="I15" s="101">
        <v>0.05</v>
      </c>
      <c r="J15" s="101">
        <v>0.06</v>
      </c>
    </row>
    <row r="16" spans="1:13">
      <c r="A16" s="101" t="s">
        <v>149</v>
      </c>
      <c r="B16" s="101">
        <v>0</v>
      </c>
      <c r="C16" s="101">
        <v>0.02</v>
      </c>
      <c r="D16" s="101">
        <v>0</v>
      </c>
      <c r="E16" s="101">
        <v>0.01</v>
      </c>
      <c r="F16" s="101">
        <v>0</v>
      </c>
      <c r="G16" s="101">
        <v>7.0000000000000007E-2</v>
      </c>
      <c r="H16" s="101">
        <v>0.01</v>
      </c>
      <c r="I16" s="101">
        <v>0.01</v>
      </c>
    </row>
    <row r="17" spans="1:13">
      <c r="A17" s="101" t="s">
        <v>150</v>
      </c>
      <c r="B17" s="101">
        <v>0</v>
      </c>
      <c r="C17" s="101">
        <v>0</v>
      </c>
      <c r="D17" s="101">
        <v>0</v>
      </c>
      <c r="E17" s="101">
        <v>0</v>
      </c>
      <c r="F17" s="101">
        <v>0.01</v>
      </c>
      <c r="G17" s="101">
        <v>0.01</v>
      </c>
      <c r="H17" s="101">
        <v>0.04</v>
      </c>
      <c r="I17" s="101">
        <v>0.01</v>
      </c>
    </row>
    <row r="18" spans="1:13">
      <c r="A18" s="101" t="s">
        <v>151</v>
      </c>
    </row>
    <row r="19" spans="1:13">
      <c r="A19" s="101" t="s">
        <v>152</v>
      </c>
      <c r="B19" s="101">
        <v>0.11</v>
      </c>
      <c r="C19" s="101">
        <v>0.14000000000000001</v>
      </c>
      <c r="D19" s="101">
        <v>0.11</v>
      </c>
      <c r="E19" s="101">
        <v>0.15</v>
      </c>
      <c r="F19" s="101">
        <v>0.12</v>
      </c>
      <c r="G19" s="101">
        <v>0.21</v>
      </c>
      <c r="H19" s="101">
        <v>0.2</v>
      </c>
      <c r="I19" s="101">
        <v>0.14000000000000001</v>
      </c>
    </row>
    <row r="20" spans="1:13">
      <c r="A20" s="101" t="s">
        <v>153</v>
      </c>
      <c r="B20" s="101">
        <v>0.08</v>
      </c>
      <c r="C20" s="101">
        <v>0.08</v>
      </c>
      <c r="D20" s="101">
        <v>0.19</v>
      </c>
      <c r="E20" s="101">
        <v>0.32</v>
      </c>
      <c r="F20" s="101">
        <v>0.12</v>
      </c>
      <c r="G20" s="101">
        <v>0.11</v>
      </c>
      <c r="H20" s="101">
        <v>0.04</v>
      </c>
      <c r="I20" s="101">
        <v>0.12</v>
      </c>
    </row>
    <row r="21" spans="1:13">
      <c r="A21" s="101" t="s">
        <v>154</v>
      </c>
      <c r="B21" s="101">
        <v>0.01</v>
      </c>
      <c r="C21" s="101">
        <v>0.01</v>
      </c>
      <c r="D21" s="101">
        <v>0.01</v>
      </c>
      <c r="E21" s="101">
        <v>0.01</v>
      </c>
      <c r="F21" s="101">
        <v>0.01</v>
      </c>
      <c r="G21" s="101">
        <v>0.01</v>
      </c>
      <c r="H21" s="101">
        <v>0.01</v>
      </c>
      <c r="I21" s="101">
        <v>0.01</v>
      </c>
    </row>
    <row r="22" spans="1:13">
      <c r="A22" s="101" t="s">
        <v>8</v>
      </c>
    </row>
    <row r="23" spans="1:13">
      <c r="A23" s="101" t="s">
        <v>11</v>
      </c>
    </row>
    <row r="25" spans="1:13">
      <c r="A25" s="101" t="s">
        <v>155</v>
      </c>
      <c r="B25" s="101">
        <v>28</v>
      </c>
      <c r="C25" s="101">
        <v>28</v>
      </c>
      <c r="D25" s="101">
        <v>28</v>
      </c>
      <c r="E25" s="101">
        <v>28</v>
      </c>
      <c r="F25" s="101">
        <v>28</v>
      </c>
      <c r="G25" s="101">
        <v>28</v>
      </c>
      <c r="H25" s="101">
        <v>28</v>
      </c>
      <c r="I25" s="101">
        <v>28</v>
      </c>
      <c r="J25" s="101">
        <v>28</v>
      </c>
      <c r="K25" s="101">
        <v>28</v>
      </c>
      <c r="L25" s="101">
        <v>28</v>
      </c>
      <c r="M25" s="101">
        <v>28</v>
      </c>
    </row>
    <row r="27" spans="1:13">
      <c r="B27" s="101" t="s">
        <v>156</v>
      </c>
    </row>
    <row r="28" spans="1:13">
      <c r="B28" s="101" t="str">
        <f t="shared" ref="B28:M32" si="0">B5</f>
        <v>PW519</v>
      </c>
      <c r="C28" s="101" t="str">
        <f t="shared" si="0"/>
        <v>N209</v>
      </c>
      <c r="D28" s="101" t="str">
        <f t="shared" si="0"/>
        <v>CG217</v>
      </c>
      <c r="E28" s="101" t="str">
        <f t="shared" si="0"/>
        <v>PW158</v>
      </c>
      <c r="F28" s="101" t="str">
        <f t="shared" si="0"/>
        <v>PW158</v>
      </c>
      <c r="G28" s="101" t="str">
        <f t="shared" si="0"/>
        <v>PW62</v>
      </c>
      <c r="H28" s="101" t="str">
        <f t="shared" si="0"/>
        <v>PW62</v>
      </c>
      <c r="I28" s="101" t="str">
        <f t="shared" si="0"/>
        <v>PW62</v>
      </c>
      <c r="J28" s="101" t="str">
        <f t="shared" si="0"/>
        <v>Sheridanite</v>
      </c>
      <c r="K28" s="101" t="str">
        <f t="shared" si="0"/>
        <v>Ripidolite</v>
      </c>
      <c r="L28" s="101" t="str">
        <f t="shared" si="0"/>
        <v>Clinochlore</v>
      </c>
      <c r="M28" s="101" t="str">
        <f t="shared" si="0"/>
        <v>Pycnochlorite</v>
      </c>
    </row>
    <row r="29" spans="1:13">
      <c r="B29" s="101" t="str">
        <f t="shared" si="0"/>
        <v>FFH</v>
      </c>
      <c r="C29" s="101" t="str">
        <f t="shared" si="0"/>
        <v>WWC</v>
      </c>
      <c r="D29" s="101" t="str">
        <f t="shared" si="0"/>
        <v>PWH</v>
      </c>
      <c r="E29" s="101" t="str">
        <f t="shared" si="0"/>
        <v>ZQB</v>
      </c>
      <c r="F29" s="101" t="str">
        <f t="shared" si="0"/>
        <v>ZQE</v>
      </c>
      <c r="G29" s="101" t="str">
        <f t="shared" si="0"/>
        <v>RRB</v>
      </c>
      <c r="H29" s="101" t="str">
        <f t="shared" si="0"/>
        <v>RRC</v>
      </c>
      <c r="I29" s="101" t="str">
        <f t="shared" si="0"/>
        <v>RRD</v>
      </c>
      <c r="J29" s="101">
        <f t="shared" si="0"/>
        <v>2</v>
      </c>
      <c r="K29" s="101">
        <f t="shared" si="0"/>
        <v>3</v>
      </c>
      <c r="L29" s="101">
        <f t="shared" si="0"/>
        <v>26</v>
      </c>
      <c r="M29" s="101">
        <f t="shared" si="0"/>
        <v>30</v>
      </c>
    </row>
    <row r="30" spans="1:13">
      <c r="A30" s="101" t="s">
        <v>13</v>
      </c>
      <c r="B30" s="101">
        <f t="shared" si="0"/>
        <v>23.22</v>
      </c>
      <c r="C30" s="101">
        <f t="shared" si="0"/>
        <v>25.11</v>
      </c>
      <c r="D30" s="101">
        <f t="shared" si="0"/>
        <v>25.01</v>
      </c>
      <c r="E30" s="101">
        <f t="shared" si="0"/>
        <v>27.83</v>
      </c>
      <c r="F30" s="101">
        <f t="shared" si="0"/>
        <v>27.88</v>
      </c>
      <c r="G30" s="101">
        <f t="shared" si="0"/>
        <v>23.52</v>
      </c>
      <c r="H30" s="101">
        <f t="shared" si="0"/>
        <v>26.74</v>
      </c>
      <c r="I30" s="101">
        <f t="shared" si="0"/>
        <v>22.99</v>
      </c>
      <c r="J30" s="101">
        <f t="shared" si="0"/>
        <v>27.64</v>
      </c>
      <c r="K30" s="101">
        <f t="shared" si="0"/>
        <v>25.62</v>
      </c>
      <c r="L30" s="101">
        <f t="shared" si="0"/>
        <v>30.3</v>
      </c>
      <c r="M30" s="101">
        <f t="shared" si="0"/>
        <v>28.32</v>
      </c>
    </row>
    <row r="31" spans="1:13">
      <c r="A31" s="101" t="s">
        <v>7</v>
      </c>
      <c r="B31" s="101">
        <f t="shared" si="0"/>
        <v>7.0000000000000007E-2</v>
      </c>
      <c r="C31" s="101">
        <f t="shared" si="0"/>
        <v>0.14000000000000001</v>
      </c>
      <c r="D31" s="101">
        <f t="shared" si="0"/>
        <v>0.12</v>
      </c>
      <c r="E31" s="101">
        <f t="shared" si="0"/>
        <v>0.1</v>
      </c>
      <c r="F31" s="101">
        <f t="shared" si="0"/>
        <v>0.1</v>
      </c>
      <c r="G31" s="101">
        <f t="shared" si="0"/>
        <v>7.0000000000000007E-2</v>
      </c>
      <c r="H31" s="101">
        <f t="shared" si="0"/>
        <v>0.15</v>
      </c>
      <c r="I31" s="101">
        <f t="shared" si="0"/>
        <v>7.0000000000000007E-2</v>
      </c>
      <c r="J31" s="101">
        <f t="shared" si="0"/>
        <v>0.22</v>
      </c>
      <c r="K31" s="101">
        <f t="shared" si="0"/>
        <v>0.88</v>
      </c>
      <c r="L31" s="101">
        <f t="shared" si="0"/>
        <v>0</v>
      </c>
      <c r="M31" s="101">
        <f t="shared" si="0"/>
        <v>0.09</v>
      </c>
    </row>
    <row r="32" spans="1:13">
      <c r="A32" s="101" t="s">
        <v>14</v>
      </c>
      <c r="B32" s="101">
        <f t="shared" si="0"/>
        <v>19.670000000000002</v>
      </c>
      <c r="C32" s="101">
        <f t="shared" si="0"/>
        <v>18.72</v>
      </c>
      <c r="D32" s="101">
        <f t="shared" si="0"/>
        <v>21.38</v>
      </c>
      <c r="E32" s="101">
        <f t="shared" si="0"/>
        <v>18.02</v>
      </c>
      <c r="F32" s="101">
        <f t="shared" si="0"/>
        <v>17.77</v>
      </c>
      <c r="G32" s="101">
        <f t="shared" si="0"/>
        <v>19.38</v>
      </c>
      <c r="H32" s="101">
        <f t="shared" si="0"/>
        <v>19.489999999999998</v>
      </c>
      <c r="I32" s="101">
        <f t="shared" si="0"/>
        <v>19.239999999999998</v>
      </c>
      <c r="J32" s="101">
        <f t="shared" si="0"/>
        <v>22.48</v>
      </c>
      <c r="K32" s="101">
        <f t="shared" si="0"/>
        <v>21.19</v>
      </c>
      <c r="L32" s="101">
        <f t="shared" si="0"/>
        <v>18.25</v>
      </c>
      <c r="M32" s="101">
        <f t="shared" si="0"/>
        <v>19.03</v>
      </c>
    </row>
    <row r="33" spans="1:13">
      <c r="A33" s="101" t="s">
        <v>8</v>
      </c>
      <c r="B33" s="101">
        <f t="shared" ref="B33:M33" si="1">B22</f>
        <v>0</v>
      </c>
      <c r="C33" s="101">
        <f t="shared" si="1"/>
        <v>0</v>
      </c>
      <c r="D33" s="101">
        <f t="shared" si="1"/>
        <v>0</v>
      </c>
      <c r="E33" s="101">
        <f t="shared" si="1"/>
        <v>0</v>
      </c>
      <c r="F33" s="101">
        <f t="shared" si="1"/>
        <v>0</v>
      </c>
      <c r="G33" s="101">
        <f t="shared" si="1"/>
        <v>0</v>
      </c>
      <c r="H33" s="101">
        <f t="shared" si="1"/>
        <v>0</v>
      </c>
      <c r="I33" s="101">
        <f t="shared" si="1"/>
        <v>0</v>
      </c>
      <c r="J33" s="101">
        <f t="shared" si="1"/>
        <v>0</v>
      </c>
      <c r="K33" s="101">
        <f t="shared" si="1"/>
        <v>0</v>
      </c>
      <c r="L33" s="101">
        <f t="shared" si="1"/>
        <v>0</v>
      </c>
      <c r="M33" s="101">
        <f t="shared" si="1"/>
        <v>0</v>
      </c>
    </row>
    <row r="34" spans="1:13">
      <c r="A34" s="101" t="s">
        <v>101</v>
      </c>
      <c r="B34" s="101">
        <f t="shared" ref="B34:M34" si="2">B213</f>
        <v>0.45877549232372761</v>
      </c>
      <c r="C34" s="101">
        <f t="shared" si="2"/>
        <v>0.7242401904949739</v>
      </c>
      <c r="D34" s="101">
        <f t="shared" si="2"/>
        <v>2.343100807996005</v>
      </c>
      <c r="E34" s="101">
        <f t="shared" si="2"/>
        <v>1.4863605340680677</v>
      </c>
      <c r="F34" s="101">
        <f t="shared" si="2"/>
        <v>1.1140691212017924</v>
      </c>
      <c r="G34" s="101">
        <f t="shared" si="2"/>
        <v>0.59700864004290932</v>
      </c>
      <c r="H34" s="101">
        <f t="shared" si="2"/>
        <v>2.4565464159076122</v>
      </c>
      <c r="I34" s="101">
        <f t="shared" si="2"/>
        <v>0.30449693180886167</v>
      </c>
      <c r="J34" s="101">
        <f t="shared" si="2"/>
        <v>0.38724501533600381</v>
      </c>
      <c r="K34" s="101">
        <f t="shared" si="2"/>
        <v>0.56170541930072759</v>
      </c>
      <c r="L34" s="101">
        <f t="shared" si="2"/>
        <v>0</v>
      </c>
      <c r="M34" s="101">
        <f t="shared" si="2"/>
        <v>0</v>
      </c>
    </row>
    <row r="35" spans="1:13">
      <c r="A35" s="101" t="s">
        <v>10</v>
      </c>
      <c r="B35" s="101">
        <f t="shared" ref="B35:M35" si="3">B212</f>
        <v>40.117172237628246</v>
      </c>
      <c r="C35" s="101">
        <f t="shared" si="3"/>
        <v>35.458294618469381</v>
      </c>
      <c r="D35" s="101">
        <f t="shared" si="3"/>
        <v>32.761567706293526</v>
      </c>
      <c r="E35" s="101">
        <f t="shared" si="3"/>
        <v>21.812502893846784</v>
      </c>
      <c r="F35" s="101">
        <f t="shared" si="3"/>
        <v>22.037508214521914</v>
      </c>
      <c r="G35" s="101">
        <f t="shared" si="3"/>
        <v>37.802783550757752</v>
      </c>
      <c r="H35" s="101">
        <f t="shared" si="3"/>
        <v>32.759484013400872</v>
      </c>
      <c r="I35" s="101">
        <f t="shared" si="3"/>
        <v>37.175999341483973</v>
      </c>
      <c r="J35" s="101">
        <f t="shared" si="3"/>
        <v>11.761538724614411</v>
      </c>
      <c r="K35" s="101">
        <f t="shared" si="3"/>
        <v>24.534551048951023</v>
      </c>
      <c r="L35" s="101">
        <f t="shared" si="3"/>
        <v>6.36</v>
      </c>
      <c r="M35" s="101">
        <f t="shared" si="3"/>
        <v>15.92</v>
      </c>
    </row>
    <row r="36" spans="1:13">
      <c r="A36" s="101" t="s">
        <v>9</v>
      </c>
      <c r="B36" s="101">
        <f t="shared" ref="B36:M37" si="4">B11</f>
        <v>3.06</v>
      </c>
      <c r="C36" s="101">
        <f t="shared" si="4"/>
        <v>1.1000000000000001</v>
      </c>
      <c r="D36" s="101">
        <f t="shared" si="4"/>
        <v>0.93</v>
      </c>
      <c r="E36" s="101">
        <f t="shared" si="4"/>
        <v>1.19</v>
      </c>
      <c r="F36" s="101">
        <f t="shared" si="4"/>
        <v>1.19</v>
      </c>
      <c r="G36" s="101">
        <f t="shared" si="4"/>
        <v>1.64</v>
      </c>
      <c r="H36" s="101">
        <f t="shared" si="4"/>
        <v>1.4</v>
      </c>
      <c r="I36" s="101">
        <f t="shared" si="4"/>
        <v>1.84</v>
      </c>
      <c r="J36" s="101">
        <f t="shared" si="4"/>
        <v>0.02</v>
      </c>
      <c r="K36" s="101">
        <f t="shared" si="4"/>
        <v>0.35</v>
      </c>
      <c r="L36" s="101">
        <f t="shared" si="4"/>
        <v>0</v>
      </c>
      <c r="M36" s="101">
        <f t="shared" si="4"/>
        <v>0.09</v>
      </c>
    </row>
    <row r="37" spans="1:13">
      <c r="A37" s="101" t="s">
        <v>15</v>
      </c>
      <c r="B37" s="101">
        <f t="shared" si="4"/>
        <v>2.11</v>
      </c>
      <c r="C37" s="101">
        <f t="shared" si="4"/>
        <v>6.76</v>
      </c>
      <c r="D37" s="101">
        <f t="shared" si="4"/>
        <v>5.29</v>
      </c>
      <c r="E37" s="101">
        <f t="shared" si="4"/>
        <v>15.81</v>
      </c>
      <c r="F37" s="101">
        <f t="shared" si="4"/>
        <v>15.91</v>
      </c>
      <c r="G37" s="101">
        <f t="shared" si="4"/>
        <v>4.09</v>
      </c>
      <c r="H37" s="101">
        <f t="shared" si="4"/>
        <v>3.94</v>
      </c>
      <c r="I37" s="101">
        <f t="shared" si="4"/>
        <v>4.47</v>
      </c>
      <c r="J37" s="101">
        <f t="shared" si="4"/>
        <v>24.32</v>
      </c>
      <c r="K37" s="101">
        <f t="shared" si="4"/>
        <v>15.28</v>
      </c>
      <c r="L37" s="101">
        <f t="shared" si="4"/>
        <v>32.659999999999997</v>
      </c>
      <c r="M37" s="101">
        <f t="shared" si="4"/>
        <v>23.72</v>
      </c>
    </row>
    <row r="38" spans="1:13">
      <c r="A38" s="101" t="s">
        <v>11</v>
      </c>
      <c r="B38" s="101">
        <f t="shared" ref="B38:M38" si="5">B23</f>
        <v>0</v>
      </c>
      <c r="C38" s="101">
        <f t="shared" si="5"/>
        <v>0</v>
      </c>
      <c r="D38" s="101">
        <f t="shared" si="5"/>
        <v>0</v>
      </c>
      <c r="E38" s="101">
        <f t="shared" si="5"/>
        <v>0</v>
      </c>
      <c r="F38" s="101">
        <f t="shared" si="5"/>
        <v>0</v>
      </c>
      <c r="G38" s="101">
        <f t="shared" si="5"/>
        <v>0</v>
      </c>
      <c r="H38" s="101">
        <f t="shared" si="5"/>
        <v>0</v>
      </c>
      <c r="I38" s="101">
        <f t="shared" si="5"/>
        <v>0</v>
      </c>
      <c r="J38" s="101">
        <f t="shared" si="5"/>
        <v>0</v>
      </c>
      <c r="K38" s="101">
        <f t="shared" si="5"/>
        <v>0</v>
      </c>
      <c r="L38" s="101">
        <f t="shared" si="5"/>
        <v>0</v>
      </c>
      <c r="M38" s="101">
        <f t="shared" si="5"/>
        <v>0</v>
      </c>
    </row>
    <row r="39" spans="1:13">
      <c r="A39" s="101" t="s">
        <v>152</v>
      </c>
      <c r="B39" s="101">
        <f t="shared" ref="B39:M39" si="6">B19</f>
        <v>0.11</v>
      </c>
      <c r="C39" s="101">
        <f t="shared" si="6"/>
        <v>0.14000000000000001</v>
      </c>
      <c r="D39" s="101">
        <f t="shared" si="6"/>
        <v>0.11</v>
      </c>
      <c r="E39" s="101">
        <f t="shared" si="6"/>
        <v>0.15</v>
      </c>
      <c r="F39" s="101">
        <f t="shared" si="6"/>
        <v>0.12</v>
      </c>
      <c r="G39" s="101">
        <f t="shared" si="6"/>
        <v>0.21</v>
      </c>
      <c r="H39" s="101">
        <f t="shared" si="6"/>
        <v>0.2</v>
      </c>
      <c r="I39" s="101">
        <f t="shared" si="6"/>
        <v>0.14000000000000001</v>
      </c>
      <c r="J39" s="101">
        <f t="shared" si="6"/>
        <v>0</v>
      </c>
      <c r="K39" s="101">
        <f t="shared" si="6"/>
        <v>0</v>
      </c>
      <c r="L39" s="101">
        <f t="shared" si="6"/>
        <v>0</v>
      </c>
      <c r="M39" s="101">
        <f t="shared" si="6"/>
        <v>0</v>
      </c>
    </row>
    <row r="40" spans="1:13">
      <c r="A40" s="101" t="s">
        <v>6</v>
      </c>
      <c r="B40" s="101">
        <f t="shared" ref="B40:M44" si="7">B13</f>
        <v>0.03</v>
      </c>
      <c r="C40" s="101">
        <f t="shared" si="7"/>
        <v>7.0000000000000007E-2</v>
      </c>
      <c r="D40" s="101">
        <f t="shared" si="7"/>
        <v>0</v>
      </c>
      <c r="E40" s="101">
        <f t="shared" si="7"/>
        <v>0.08</v>
      </c>
      <c r="F40" s="101">
        <f t="shared" si="7"/>
        <v>0.08</v>
      </c>
      <c r="G40" s="101">
        <f t="shared" si="7"/>
        <v>0.03</v>
      </c>
      <c r="H40" s="101">
        <f t="shared" si="7"/>
        <v>0.08</v>
      </c>
      <c r="I40" s="101">
        <f t="shared" si="7"/>
        <v>0.03</v>
      </c>
      <c r="J40" s="101">
        <f t="shared" si="7"/>
        <v>0</v>
      </c>
      <c r="K40" s="101">
        <f t="shared" si="7"/>
        <v>0.16</v>
      </c>
      <c r="L40" s="101">
        <f t="shared" si="7"/>
        <v>0</v>
      </c>
      <c r="M40" s="101">
        <f t="shared" si="7"/>
        <v>0.62</v>
      </c>
    </row>
    <row r="41" spans="1:13">
      <c r="A41" s="101" t="s">
        <v>12</v>
      </c>
      <c r="B41" s="101">
        <f t="shared" si="7"/>
        <v>0.02</v>
      </c>
      <c r="C41" s="101">
        <f t="shared" si="7"/>
        <v>0.02</v>
      </c>
      <c r="D41" s="101">
        <f t="shared" si="7"/>
        <v>0.04</v>
      </c>
      <c r="E41" s="101">
        <f t="shared" si="7"/>
        <v>0</v>
      </c>
      <c r="F41" s="101">
        <f t="shared" si="7"/>
        <v>0.04</v>
      </c>
      <c r="G41" s="101">
        <f t="shared" si="7"/>
        <v>0.02</v>
      </c>
      <c r="H41" s="101">
        <f t="shared" si="7"/>
        <v>0.04</v>
      </c>
      <c r="I41" s="101">
        <f t="shared" si="7"/>
        <v>0.02</v>
      </c>
      <c r="J41" s="101">
        <f t="shared" si="7"/>
        <v>0.17</v>
      </c>
      <c r="K41" s="101">
        <f t="shared" si="7"/>
        <v>0</v>
      </c>
      <c r="L41" s="101">
        <f t="shared" si="7"/>
        <v>0.03</v>
      </c>
      <c r="M41" s="101">
        <f t="shared" si="7"/>
        <v>0.01</v>
      </c>
    </row>
    <row r="42" spans="1:13">
      <c r="A42" s="101" t="s">
        <v>5</v>
      </c>
      <c r="B42" s="101">
        <f t="shared" si="7"/>
        <v>0</v>
      </c>
      <c r="C42" s="101">
        <f t="shared" si="7"/>
        <v>0.1</v>
      </c>
      <c r="D42" s="101">
        <f t="shared" si="7"/>
        <v>0.16</v>
      </c>
      <c r="E42" s="101">
        <f t="shared" si="7"/>
        <v>0.14000000000000001</v>
      </c>
      <c r="F42" s="101">
        <f t="shared" si="7"/>
        <v>0.13</v>
      </c>
      <c r="G42" s="101">
        <f t="shared" si="7"/>
        <v>0.03</v>
      </c>
      <c r="H42" s="101">
        <f t="shared" si="7"/>
        <v>1.03</v>
      </c>
      <c r="I42" s="101">
        <f t="shared" si="7"/>
        <v>0.05</v>
      </c>
      <c r="J42" s="101">
        <f t="shared" si="7"/>
        <v>0.06</v>
      </c>
      <c r="K42" s="101">
        <f t="shared" si="7"/>
        <v>0</v>
      </c>
      <c r="L42" s="101">
        <f t="shared" si="7"/>
        <v>0</v>
      </c>
      <c r="M42" s="101">
        <f t="shared" si="7"/>
        <v>0</v>
      </c>
    </row>
    <row r="43" spans="1:13">
      <c r="A43" s="101" t="s">
        <v>149</v>
      </c>
      <c r="B43" s="101">
        <f t="shared" si="7"/>
        <v>0</v>
      </c>
      <c r="C43" s="101">
        <f t="shared" si="7"/>
        <v>0.02</v>
      </c>
      <c r="D43" s="101">
        <f t="shared" si="7"/>
        <v>0</v>
      </c>
      <c r="E43" s="101">
        <f t="shared" si="7"/>
        <v>0.01</v>
      </c>
      <c r="F43" s="101">
        <f t="shared" si="7"/>
        <v>0</v>
      </c>
      <c r="G43" s="101">
        <f t="shared" si="7"/>
        <v>7.0000000000000007E-2</v>
      </c>
      <c r="H43" s="101">
        <f t="shared" si="7"/>
        <v>0.01</v>
      </c>
      <c r="I43" s="101">
        <f t="shared" si="7"/>
        <v>0.01</v>
      </c>
      <c r="J43" s="101">
        <f t="shared" si="7"/>
        <v>0</v>
      </c>
      <c r="K43" s="101">
        <f t="shared" si="7"/>
        <v>0</v>
      </c>
      <c r="L43" s="101">
        <f t="shared" si="7"/>
        <v>0</v>
      </c>
      <c r="M43" s="101">
        <f t="shared" si="7"/>
        <v>0</v>
      </c>
    </row>
    <row r="44" spans="1:13">
      <c r="A44" s="101" t="s">
        <v>150</v>
      </c>
      <c r="B44" s="101">
        <f t="shared" si="7"/>
        <v>0</v>
      </c>
      <c r="C44" s="101">
        <f t="shared" si="7"/>
        <v>0</v>
      </c>
      <c r="D44" s="101">
        <f t="shared" si="7"/>
        <v>0</v>
      </c>
      <c r="E44" s="101">
        <f t="shared" si="7"/>
        <v>0</v>
      </c>
      <c r="F44" s="101">
        <f t="shared" si="7"/>
        <v>0.01</v>
      </c>
      <c r="G44" s="101">
        <f t="shared" si="7"/>
        <v>0.01</v>
      </c>
      <c r="H44" s="101">
        <f t="shared" si="7"/>
        <v>0.04</v>
      </c>
      <c r="I44" s="101">
        <f t="shared" si="7"/>
        <v>0.01</v>
      </c>
      <c r="J44" s="101">
        <f t="shared" si="7"/>
        <v>0</v>
      </c>
      <c r="K44" s="101">
        <f t="shared" si="7"/>
        <v>0</v>
      </c>
      <c r="L44" s="101">
        <f t="shared" si="7"/>
        <v>0</v>
      </c>
      <c r="M44" s="101">
        <f t="shared" si="7"/>
        <v>0</v>
      </c>
    </row>
    <row r="45" spans="1:13">
      <c r="A45" s="101" t="s">
        <v>153</v>
      </c>
      <c r="B45" s="101">
        <f t="shared" ref="B45:M46" si="8">B20</f>
        <v>0.08</v>
      </c>
      <c r="C45" s="101">
        <f t="shared" si="8"/>
        <v>0.08</v>
      </c>
      <c r="D45" s="101">
        <f t="shared" si="8"/>
        <v>0.19</v>
      </c>
      <c r="E45" s="101">
        <f t="shared" si="8"/>
        <v>0.32</v>
      </c>
      <c r="F45" s="101">
        <f t="shared" si="8"/>
        <v>0.12</v>
      </c>
      <c r="G45" s="101">
        <f t="shared" si="8"/>
        <v>0.11</v>
      </c>
      <c r="H45" s="101">
        <f t="shared" si="8"/>
        <v>0.04</v>
      </c>
      <c r="I45" s="101">
        <f t="shared" si="8"/>
        <v>0.12</v>
      </c>
      <c r="J45" s="101">
        <f t="shared" si="8"/>
        <v>0</v>
      </c>
      <c r="K45" s="101">
        <f t="shared" si="8"/>
        <v>0</v>
      </c>
      <c r="L45" s="101">
        <f t="shared" si="8"/>
        <v>0</v>
      </c>
      <c r="M45" s="101">
        <f t="shared" si="8"/>
        <v>0</v>
      </c>
    </row>
    <row r="46" spans="1:13">
      <c r="A46" s="101" t="s">
        <v>154</v>
      </c>
      <c r="B46" s="101">
        <f t="shared" si="8"/>
        <v>0.01</v>
      </c>
      <c r="C46" s="101">
        <f t="shared" si="8"/>
        <v>0.01</v>
      </c>
      <c r="D46" s="101">
        <f t="shared" si="8"/>
        <v>0.01</v>
      </c>
      <c r="E46" s="101">
        <f t="shared" si="8"/>
        <v>0.01</v>
      </c>
      <c r="F46" s="101">
        <f t="shared" si="8"/>
        <v>0.01</v>
      </c>
      <c r="G46" s="101">
        <f t="shared" si="8"/>
        <v>0.01</v>
      </c>
      <c r="H46" s="101">
        <f t="shared" si="8"/>
        <v>0.01</v>
      </c>
      <c r="I46" s="101">
        <f t="shared" si="8"/>
        <v>0.01</v>
      </c>
      <c r="J46" s="101">
        <f t="shared" si="8"/>
        <v>0</v>
      </c>
      <c r="K46" s="101">
        <f t="shared" si="8"/>
        <v>0</v>
      </c>
      <c r="L46" s="101">
        <f t="shared" si="8"/>
        <v>0</v>
      </c>
      <c r="M46" s="101">
        <f t="shared" si="8"/>
        <v>0</v>
      </c>
    </row>
    <row r="47" spans="1:13">
      <c r="A47" s="101" t="s">
        <v>157</v>
      </c>
      <c r="B47" s="101">
        <f t="shared" ref="B47:M47" si="9">B209/(2*B123)*18.016</f>
        <v>10.292105689716413</v>
      </c>
      <c r="C47" s="101">
        <f t="shared" si="9"/>
        <v>10.627758501250485</v>
      </c>
      <c r="D47" s="101">
        <f t="shared" si="9"/>
        <v>10.615652260635088</v>
      </c>
      <c r="E47" s="101">
        <f t="shared" si="9"/>
        <v>10.993936187359115</v>
      </c>
      <c r="F47" s="101">
        <f t="shared" si="9"/>
        <v>11.156956619535839</v>
      </c>
      <c r="G47" s="101">
        <f t="shared" si="9"/>
        <v>10.274890924669563</v>
      </c>
      <c r="H47" s="101">
        <f t="shared" si="9"/>
        <v>10.700992521210043</v>
      </c>
      <c r="I47" s="101">
        <f t="shared" si="9"/>
        <v>10.147322120848138</v>
      </c>
      <c r="J47" s="101">
        <f t="shared" si="9"/>
        <v>12.160426906101284</v>
      </c>
      <c r="K47" s="101">
        <f t="shared" si="9"/>
        <v>11.49719946805612</v>
      </c>
      <c r="L47" s="101">
        <f t="shared" si="9"/>
        <v>12.583842008149936</v>
      </c>
      <c r="M47" s="101">
        <f t="shared" si="9"/>
        <v>11.979416800257654</v>
      </c>
    </row>
    <row r="49" spans="1:13">
      <c r="A49" s="101" t="s">
        <v>158</v>
      </c>
      <c r="B49" s="101">
        <f t="shared" ref="B49:M49" si="10">SUM(B30:B47)</f>
        <v>99.248053419668381</v>
      </c>
      <c r="C49" s="101">
        <f t="shared" si="10"/>
        <v>99.080293310214827</v>
      </c>
      <c r="D49" s="101">
        <f t="shared" si="10"/>
        <v>98.960320774924639</v>
      </c>
      <c r="E49" s="101">
        <f t="shared" si="10"/>
        <v>97.952799615273975</v>
      </c>
      <c r="F49" s="101">
        <f t="shared" si="10"/>
        <v>97.668533955259562</v>
      </c>
      <c r="G49" s="101">
        <f t="shared" si="10"/>
        <v>97.864683115470228</v>
      </c>
      <c r="H49" s="101">
        <f t="shared" si="10"/>
        <v>99.087022950518559</v>
      </c>
      <c r="I49" s="101">
        <f t="shared" si="10"/>
        <v>96.627818394141002</v>
      </c>
      <c r="J49" s="101">
        <f t="shared" si="10"/>
        <v>99.219210646051707</v>
      </c>
      <c r="K49" s="101">
        <f t="shared" si="10"/>
        <v>100.07345593630787</v>
      </c>
      <c r="L49" s="101">
        <f t="shared" si="10"/>
        <v>100.18384200814992</v>
      </c>
      <c r="M49" s="101">
        <f t="shared" si="10"/>
        <v>99.779416800257664</v>
      </c>
    </row>
    <row r="50" spans="1:13">
      <c r="A50" s="101" t="s">
        <v>159</v>
      </c>
      <c r="B50" s="101">
        <f t="shared" ref="B50:M50" si="11">(B45*0.42105)+(B46*0.2254)</f>
        <v>3.5937999999999998E-2</v>
      </c>
      <c r="C50" s="101">
        <f t="shared" si="11"/>
        <v>3.5937999999999998E-2</v>
      </c>
      <c r="D50" s="101">
        <f t="shared" si="11"/>
        <v>8.2253500000000007E-2</v>
      </c>
      <c r="E50" s="101">
        <f t="shared" si="11"/>
        <v>0.13699</v>
      </c>
      <c r="F50" s="101">
        <f t="shared" si="11"/>
        <v>5.2779999999999994E-2</v>
      </c>
      <c r="G50" s="101">
        <f t="shared" si="11"/>
        <v>4.8569499999999995E-2</v>
      </c>
      <c r="H50" s="101">
        <f t="shared" si="11"/>
        <v>1.9095999999999998E-2</v>
      </c>
      <c r="I50" s="101">
        <f t="shared" si="11"/>
        <v>5.2779999999999994E-2</v>
      </c>
      <c r="J50" s="101">
        <f t="shared" si="11"/>
        <v>0</v>
      </c>
      <c r="K50" s="101">
        <f t="shared" si="11"/>
        <v>0</v>
      </c>
      <c r="L50" s="101">
        <f t="shared" si="11"/>
        <v>0</v>
      </c>
      <c r="M50" s="101">
        <f t="shared" si="11"/>
        <v>0</v>
      </c>
    </row>
    <row r="51" spans="1:13">
      <c r="A51" s="101" t="s">
        <v>16</v>
      </c>
      <c r="B51" s="101">
        <f t="shared" ref="B51:M51" si="12">B49-B50</f>
        <v>99.212115419668379</v>
      </c>
      <c r="C51" s="101">
        <f t="shared" si="12"/>
        <v>99.044355310214826</v>
      </c>
      <c r="D51" s="101">
        <f t="shared" si="12"/>
        <v>98.878067274924646</v>
      </c>
      <c r="E51" s="101">
        <f t="shared" si="12"/>
        <v>97.815809615273977</v>
      </c>
      <c r="F51" s="101">
        <f t="shared" si="12"/>
        <v>97.615753955259564</v>
      </c>
      <c r="G51" s="101">
        <f t="shared" si="12"/>
        <v>97.816113615470229</v>
      </c>
      <c r="H51" s="101">
        <f t="shared" si="12"/>
        <v>99.067926950518554</v>
      </c>
      <c r="I51" s="101">
        <f t="shared" si="12"/>
        <v>96.575038394141004</v>
      </c>
      <c r="J51" s="101">
        <f t="shared" si="12"/>
        <v>99.219210646051707</v>
      </c>
      <c r="K51" s="101">
        <f t="shared" si="12"/>
        <v>100.07345593630787</v>
      </c>
      <c r="L51" s="101">
        <f t="shared" si="12"/>
        <v>100.18384200814992</v>
      </c>
      <c r="M51" s="101">
        <f t="shared" si="12"/>
        <v>99.779416800257664</v>
      </c>
    </row>
    <row r="54" spans="1:13">
      <c r="A54" s="101" t="s">
        <v>18</v>
      </c>
      <c r="B54" s="101">
        <f t="shared" ref="B54:M54" si="13">B192</f>
        <v>5.348860031700494</v>
      </c>
      <c r="C54" s="101">
        <f t="shared" si="13"/>
        <v>5.5963437349144698</v>
      </c>
      <c r="D54" s="101">
        <f t="shared" si="13"/>
        <v>5.4837929080590726</v>
      </c>
      <c r="E54" s="101">
        <f t="shared" si="13"/>
        <v>5.8337387507788669</v>
      </c>
      <c r="F54" s="101">
        <f t="shared" si="13"/>
        <v>5.8888524328135743</v>
      </c>
      <c r="G54" s="101">
        <f t="shared" si="13"/>
        <v>5.4047459490406453</v>
      </c>
      <c r="H54" s="101">
        <f t="shared" si="13"/>
        <v>5.886507465605507</v>
      </c>
      <c r="I54" s="101">
        <f t="shared" si="13"/>
        <v>5.3463181125393682</v>
      </c>
      <c r="J54" s="101">
        <f t="shared" si="13"/>
        <v>5.4383807309820478</v>
      </c>
      <c r="K54" s="101">
        <f t="shared" si="13"/>
        <v>5.3364179563595417</v>
      </c>
      <c r="L54" s="101">
        <f t="shared" si="13"/>
        <v>5.737261229595819</v>
      </c>
      <c r="M54" s="101">
        <f t="shared" si="13"/>
        <v>5.6552197427256026</v>
      </c>
    </row>
    <row r="55" spans="1:13">
      <c r="A55" s="101" t="s">
        <v>160</v>
      </c>
      <c r="B55" s="101">
        <f t="shared" ref="B55:M55" si="14">B84</f>
        <v>2.651139968299506</v>
      </c>
      <c r="C55" s="101">
        <f t="shared" si="14"/>
        <v>2.4036562650855302</v>
      </c>
      <c r="D55" s="101">
        <f t="shared" si="14"/>
        <v>2.5162070919409274</v>
      </c>
      <c r="E55" s="101">
        <f t="shared" si="14"/>
        <v>2.1662612492211331</v>
      </c>
      <c r="F55" s="101">
        <f t="shared" si="14"/>
        <v>2.1111475671864257</v>
      </c>
      <c r="G55" s="101">
        <f t="shared" si="14"/>
        <v>2.5952540509593547</v>
      </c>
      <c r="H55" s="101">
        <f t="shared" si="14"/>
        <v>2.113492534394493</v>
      </c>
      <c r="I55" s="101">
        <f t="shared" si="14"/>
        <v>2.6536818874606318</v>
      </c>
      <c r="J55" s="101">
        <f t="shared" si="14"/>
        <v>2.5616192690179522</v>
      </c>
      <c r="K55" s="101">
        <f t="shared" si="14"/>
        <v>2.6635820436404583</v>
      </c>
      <c r="L55" s="101">
        <f t="shared" si="14"/>
        <v>2.262738770404181</v>
      </c>
      <c r="M55" s="101">
        <f t="shared" si="14"/>
        <v>2.3447802572743974</v>
      </c>
    </row>
    <row r="57" spans="1:13">
      <c r="A57" s="101" t="s">
        <v>161</v>
      </c>
      <c r="B57" s="101">
        <f t="shared" ref="B57:M57" si="15">B85</f>
        <v>2.7040597882394879</v>
      </c>
      <c r="C57" s="101">
        <f t="shared" si="15"/>
        <v>2.5333693327551599</v>
      </c>
      <c r="D57" s="101">
        <f t="shared" si="15"/>
        <v>3.067584582076277</v>
      </c>
      <c r="E57" s="101">
        <f t="shared" si="15"/>
        <v>2.3252140986995364</v>
      </c>
      <c r="F57" s="101">
        <f t="shared" si="15"/>
        <v>2.3378950272743824</v>
      </c>
      <c r="G57" s="101">
        <f t="shared" si="15"/>
        <v>2.6733637193262672</v>
      </c>
      <c r="H57" s="101">
        <f t="shared" si="15"/>
        <v>3.0124084983316655</v>
      </c>
      <c r="I57" s="101">
        <f t="shared" si="15"/>
        <v>2.636250722526067</v>
      </c>
      <c r="J57" s="101">
        <f t="shared" si="15"/>
        <v>2.6647009340736236</v>
      </c>
      <c r="K57" s="101">
        <f t="shared" si="15"/>
        <v>2.5470141708163352</v>
      </c>
      <c r="L57" s="101">
        <f t="shared" si="15"/>
        <v>1.8373960820794411</v>
      </c>
      <c r="M57" s="101">
        <f t="shared" si="15"/>
        <v>2.1463085374232964</v>
      </c>
    </row>
    <row r="58" spans="1:13">
      <c r="A58" s="101" t="s">
        <v>20</v>
      </c>
      <c r="B58" s="101">
        <f t="shared" ref="B58:M58" si="16">B193</f>
        <v>1.2126975014710351E-2</v>
      </c>
      <c r="C58" s="101">
        <f t="shared" si="16"/>
        <v>2.3466111464670078E-2</v>
      </c>
      <c r="D58" s="101">
        <f t="shared" si="16"/>
        <v>1.9788096726982479E-2</v>
      </c>
      <c r="E58" s="101">
        <f t="shared" si="16"/>
        <v>1.5764826475706119E-2</v>
      </c>
      <c r="F58" s="101">
        <f t="shared" si="16"/>
        <v>1.588522340011491E-2</v>
      </c>
      <c r="G58" s="101">
        <f t="shared" si="16"/>
        <v>1.2097383041221632E-2</v>
      </c>
      <c r="H58" s="101">
        <f t="shared" si="16"/>
        <v>2.4833788608814137E-2</v>
      </c>
      <c r="I58" s="101">
        <f t="shared" si="16"/>
        <v>1.2242476800205536E-2</v>
      </c>
      <c r="J58" s="101">
        <f t="shared" si="16"/>
        <v>3.2554398491709276E-2</v>
      </c>
      <c r="K58" s="101">
        <f t="shared" si="16"/>
        <v>0.13785064683602721</v>
      </c>
      <c r="L58" s="101">
        <f t="shared" si="16"/>
        <v>0</v>
      </c>
      <c r="M58" s="101">
        <f t="shared" si="16"/>
        <v>1.3516186321635417E-2</v>
      </c>
    </row>
    <row r="59" spans="1:13">
      <c r="A59" s="101" t="s">
        <v>21</v>
      </c>
      <c r="B59" s="101">
        <f t="shared" ref="B59:M73" si="17">B195</f>
        <v>0</v>
      </c>
      <c r="C59" s="101">
        <f t="shared" si="17"/>
        <v>0</v>
      </c>
      <c r="D59" s="101">
        <f t="shared" si="17"/>
        <v>0</v>
      </c>
      <c r="E59" s="101">
        <f t="shared" si="17"/>
        <v>0</v>
      </c>
      <c r="F59" s="101">
        <f t="shared" si="17"/>
        <v>0</v>
      </c>
      <c r="G59" s="101">
        <f t="shared" si="17"/>
        <v>0</v>
      </c>
      <c r="H59" s="101">
        <f t="shared" si="17"/>
        <v>0</v>
      </c>
      <c r="I59" s="101">
        <f t="shared" si="17"/>
        <v>0</v>
      </c>
      <c r="J59" s="101">
        <f t="shared" si="17"/>
        <v>0</v>
      </c>
      <c r="K59" s="101">
        <f t="shared" si="17"/>
        <v>0</v>
      </c>
      <c r="L59" s="101">
        <f t="shared" si="17"/>
        <v>0</v>
      </c>
      <c r="M59" s="101">
        <f t="shared" si="17"/>
        <v>0</v>
      </c>
    </row>
    <row r="60" spans="1:13">
      <c r="A60" s="101" t="s">
        <v>51</v>
      </c>
      <c r="B60" s="101">
        <f t="shared" si="17"/>
        <v>7.9532263958030647E-2</v>
      </c>
      <c r="C60" s="101">
        <f t="shared" si="17"/>
        <v>0.12147430071550958</v>
      </c>
      <c r="D60" s="101">
        <f t="shared" si="17"/>
        <v>0.38663613864481144</v>
      </c>
      <c r="E60" s="101">
        <f t="shared" si="17"/>
        <v>0.23447797386807734</v>
      </c>
      <c r="F60" s="101">
        <f t="shared" si="17"/>
        <v>0.17709004828546168</v>
      </c>
      <c r="G60" s="101">
        <f t="shared" si="17"/>
        <v>0.10324349571250109</v>
      </c>
      <c r="H60" s="101">
        <f t="shared" si="17"/>
        <v>0.4069728034827928</v>
      </c>
      <c r="I60" s="101">
        <f t="shared" si="17"/>
        <v>5.3289649416317413E-2</v>
      </c>
      <c r="J60" s="101">
        <f t="shared" si="17"/>
        <v>5.7340506276001173E-2</v>
      </c>
      <c r="K60" s="101">
        <f t="shared" si="17"/>
        <v>8.8048800232348956E-2</v>
      </c>
      <c r="L60" s="101">
        <f t="shared" si="17"/>
        <v>0</v>
      </c>
      <c r="M60" s="101">
        <f t="shared" si="17"/>
        <v>0</v>
      </c>
    </row>
    <row r="61" spans="1:13">
      <c r="A61" s="101" t="s">
        <v>52</v>
      </c>
      <c r="B61" s="101">
        <f t="shared" si="17"/>
        <v>7.7286699744279366</v>
      </c>
      <c r="C61" s="101">
        <f t="shared" si="17"/>
        <v>6.6092312038714285</v>
      </c>
      <c r="D61" s="101">
        <f t="shared" si="17"/>
        <v>6.007689254106678</v>
      </c>
      <c r="E61" s="101">
        <f t="shared" si="17"/>
        <v>3.8239719996484816</v>
      </c>
      <c r="F61" s="101">
        <f t="shared" si="17"/>
        <v>3.8929230646411814</v>
      </c>
      <c r="G61" s="101">
        <f t="shared" si="17"/>
        <v>7.2650260932038817</v>
      </c>
      <c r="H61" s="101">
        <f t="shared" si="17"/>
        <v>6.0312701334927041</v>
      </c>
      <c r="I61" s="101">
        <f t="shared" si="17"/>
        <v>7.2302598918500154</v>
      </c>
      <c r="J61" s="101">
        <f t="shared" si="17"/>
        <v>1.9354018156190127</v>
      </c>
      <c r="K61" s="101">
        <f t="shared" si="17"/>
        <v>4.2738990349396051</v>
      </c>
      <c r="L61" s="101">
        <f t="shared" si="17"/>
        <v>1.1861271751919669</v>
      </c>
      <c r="M61" s="101">
        <f t="shared" si="17"/>
        <v>2.7311151289056688</v>
      </c>
    </row>
    <row r="62" spans="1:13">
      <c r="A62" s="101" t="s">
        <v>23</v>
      </c>
      <c r="B62" s="101">
        <f t="shared" si="17"/>
        <v>0.5970785430840132</v>
      </c>
      <c r="C62" s="101">
        <f t="shared" si="17"/>
        <v>0.20766407594243158</v>
      </c>
      <c r="D62" s="101">
        <f t="shared" si="17"/>
        <v>0.1727274343919612</v>
      </c>
      <c r="E62" s="101">
        <f t="shared" si="17"/>
        <v>0.21129623148246596</v>
      </c>
      <c r="F62" s="101">
        <f t="shared" si="17"/>
        <v>0.21290991346297231</v>
      </c>
      <c r="G62" s="101">
        <f t="shared" si="17"/>
        <v>0.31922201542339951</v>
      </c>
      <c r="H62" s="101">
        <f t="shared" si="17"/>
        <v>0.2610570053361479</v>
      </c>
      <c r="I62" s="101">
        <f t="shared" si="17"/>
        <v>0.36244713223629971</v>
      </c>
      <c r="J62" s="101">
        <f t="shared" si="17"/>
        <v>3.3332860541399533E-3</v>
      </c>
      <c r="K62" s="101">
        <f t="shared" si="17"/>
        <v>6.1751821942510651E-2</v>
      </c>
      <c r="L62" s="101">
        <f t="shared" si="17"/>
        <v>0</v>
      </c>
      <c r="M62" s="101">
        <f t="shared" si="17"/>
        <v>1.5223333621351424E-2</v>
      </c>
    </row>
    <row r="63" spans="1:13">
      <c r="A63" s="101" t="s">
        <v>24</v>
      </c>
      <c r="B63" s="101">
        <f t="shared" si="17"/>
        <v>0.72455420163553996</v>
      </c>
      <c r="C63" s="101">
        <f t="shared" si="17"/>
        <v>2.245917352791484</v>
      </c>
      <c r="D63" s="101">
        <f t="shared" si="17"/>
        <v>1.729069426877204</v>
      </c>
      <c r="E63" s="101">
        <f t="shared" si="17"/>
        <v>4.9403196069995063</v>
      </c>
      <c r="F63" s="101">
        <f t="shared" si="17"/>
        <v>5.0095358355833968</v>
      </c>
      <c r="G63" s="101">
        <f t="shared" si="17"/>
        <v>1.4010404725604626</v>
      </c>
      <c r="H63" s="101">
        <f t="shared" si="17"/>
        <v>1.2929505758350026</v>
      </c>
      <c r="I63" s="101">
        <f t="shared" si="17"/>
        <v>1.5495755454597608</v>
      </c>
      <c r="J63" s="101">
        <f t="shared" si="17"/>
        <v>7.1332023869937222</v>
      </c>
      <c r="K63" s="101">
        <f t="shared" si="17"/>
        <v>4.7444237529598512</v>
      </c>
      <c r="L63" s="101">
        <f t="shared" si="17"/>
        <v>9.218655429639961</v>
      </c>
      <c r="M63" s="101">
        <f t="shared" si="17"/>
        <v>7.0609043165413734</v>
      </c>
    </row>
    <row r="64" spans="1:13">
      <c r="A64" s="101" t="s">
        <v>25</v>
      </c>
      <c r="B64" s="101">
        <f t="shared" si="17"/>
        <v>0</v>
      </c>
      <c r="C64" s="101">
        <f t="shared" si="17"/>
        <v>0</v>
      </c>
      <c r="D64" s="101">
        <f t="shared" si="17"/>
        <v>0</v>
      </c>
      <c r="E64" s="101">
        <f t="shared" si="17"/>
        <v>0</v>
      </c>
      <c r="F64" s="101">
        <f t="shared" si="17"/>
        <v>0</v>
      </c>
      <c r="G64" s="101">
        <f t="shared" si="17"/>
        <v>0</v>
      </c>
      <c r="H64" s="101">
        <f t="shared" si="17"/>
        <v>0</v>
      </c>
      <c r="I64" s="101">
        <f t="shared" si="17"/>
        <v>0</v>
      </c>
      <c r="J64" s="101">
        <f t="shared" si="17"/>
        <v>0</v>
      </c>
      <c r="K64" s="101">
        <f t="shared" si="17"/>
        <v>0</v>
      </c>
      <c r="L64" s="101">
        <f t="shared" si="17"/>
        <v>0</v>
      </c>
      <c r="M64" s="101">
        <f t="shared" si="17"/>
        <v>0</v>
      </c>
    </row>
    <row r="65" spans="1:13">
      <c r="A65" s="101" t="s">
        <v>162</v>
      </c>
      <c r="B65" s="101">
        <f t="shared" si="17"/>
        <v>1.8710104870324276E-2</v>
      </c>
      <c r="C65" s="101">
        <f t="shared" si="17"/>
        <v>2.3039350037197585E-2</v>
      </c>
      <c r="D65" s="101">
        <f t="shared" si="17"/>
        <v>1.7809206002032545E-2</v>
      </c>
      <c r="E65" s="101">
        <f t="shared" si="17"/>
        <v>2.3217184235848839E-2</v>
      </c>
      <c r="F65" s="101">
        <f t="shared" si="17"/>
        <v>1.8715596210408181E-2</v>
      </c>
      <c r="G65" s="101">
        <f t="shared" si="17"/>
        <v>3.5632129699936413E-2</v>
      </c>
      <c r="H65" s="101">
        <f t="shared" si="17"/>
        <v>3.2509538950507906E-2</v>
      </c>
      <c r="I65" s="101">
        <f t="shared" si="17"/>
        <v>2.4039663217901755E-2</v>
      </c>
      <c r="J65" s="101">
        <f t="shared" si="17"/>
        <v>0</v>
      </c>
      <c r="K65" s="101">
        <f t="shared" si="17"/>
        <v>0</v>
      </c>
      <c r="L65" s="101">
        <f t="shared" si="17"/>
        <v>0</v>
      </c>
      <c r="M65" s="101">
        <f t="shared" si="17"/>
        <v>0</v>
      </c>
    </row>
    <row r="66" spans="1:13">
      <c r="A66" s="101" t="s">
        <v>26</v>
      </c>
      <c r="B66" s="101">
        <f t="shared" si="17"/>
        <v>7.4048194187540019E-3</v>
      </c>
      <c r="C66" s="101">
        <f t="shared" si="17"/>
        <v>1.6716675339043682E-2</v>
      </c>
      <c r="D66" s="101">
        <f t="shared" si="17"/>
        <v>0</v>
      </c>
      <c r="E66" s="101">
        <f t="shared" si="17"/>
        <v>1.7968753714820526E-2</v>
      </c>
      <c r="F66" s="101">
        <f t="shared" si="17"/>
        <v>1.8105982163611714E-2</v>
      </c>
      <c r="G66" s="101">
        <f t="shared" si="17"/>
        <v>7.3867503438476293E-3</v>
      </c>
      <c r="H66" s="101">
        <f t="shared" si="17"/>
        <v>1.8870372894381832E-2</v>
      </c>
      <c r="I66" s="101">
        <f t="shared" si="17"/>
        <v>7.4753456516437411E-3</v>
      </c>
      <c r="J66" s="101">
        <f t="shared" si="17"/>
        <v>0</v>
      </c>
      <c r="K66" s="101">
        <f t="shared" si="17"/>
        <v>3.5709592407594914E-2</v>
      </c>
      <c r="L66" s="101">
        <f t="shared" si="17"/>
        <v>0</v>
      </c>
      <c r="M66" s="101">
        <f t="shared" si="17"/>
        <v>0.13266065105428265</v>
      </c>
    </row>
    <row r="67" spans="1:13">
      <c r="A67" s="101" t="s">
        <v>27</v>
      </c>
      <c r="B67" s="101">
        <f t="shared" si="17"/>
        <v>1.7866506314024932E-2</v>
      </c>
      <c r="C67" s="101">
        <f t="shared" si="17"/>
        <v>1.7286150426655045E-2</v>
      </c>
      <c r="D67" s="101">
        <f t="shared" si="17"/>
        <v>3.4012454092414761E-2</v>
      </c>
      <c r="E67" s="101">
        <f t="shared" si="17"/>
        <v>0</v>
      </c>
      <c r="F67" s="101">
        <f t="shared" si="17"/>
        <v>3.2764875112466771E-2</v>
      </c>
      <c r="G67" s="101">
        <f t="shared" si="17"/>
        <v>1.7822908864492847E-2</v>
      </c>
      <c r="H67" s="101">
        <f t="shared" si="17"/>
        <v>3.4148128813066579E-2</v>
      </c>
      <c r="I67" s="101">
        <f t="shared" si="17"/>
        <v>1.8036673513786426E-2</v>
      </c>
      <c r="J67" s="101">
        <f t="shared" si="17"/>
        <v>0.12971527317107781</v>
      </c>
      <c r="K67" s="101">
        <f t="shared" si="17"/>
        <v>0</v>
      </c>
      <c r="L67" s="101">
        <f t="shared" si="17"/>
        <v>2.2028953912722582E-2</v>
      </c>
      <c r="M67" s="101">
        <f t="shared" si="17"/>
        <v>7.7440270130054159E-3</v>
      </c>
    </row>
    <row r="68" spans="1:13">
      <c r="A68" s="101" t="s">
        <v>28</v>
      </c>
      <c r="B68" s="101">
        <f t="shared" si="17"/>
        <v>0</v>
      </c>
      <c r="C68" s="101">
        <f t="shared" si="17"/>
        <v>5.6856060467208647E-2</v>
      </c>
      <c r="D68" s="101">
        <f t="shared" si="17"/>
        <v>8.9496578418504211E-2</v>
      </c>
      <c r="E68" s="101">
        <f t="shared" si="17"/>
        <v>7.4865357230842144E-2</v>
      </c>
      <c r="F68" s="101">
        <f t="shared" si="17"/>
        <v>7.0048743560600105E-2</v>
      </c>
      <c r="G68" s="101">
        <f t="shared" si="17"/>
        <v>1.7586455499171087E-2</v>
      </c>
      <c r="H68" s="101">
        <f t="shared" si="17"/>
        <v>0.57843240674720942</v>
      </c>
      <c r="I68" s="101">
        <f t="shared" si="17"/>
        <v>2.9662306951403174E-2</v>
      </c>
      <c r="J68" s="101">
        <f t="shared" si="17"/>
        <v>3.0116320867843972E-2</v>
      </c>
      <c r="K68" s="101">
        <f t="shared" si="17"/>
        <v>0</v>
      </c>
      <c r="L68" s="101">
        <f t="shared" si="17"/>
        <v>0</v>
      </c>
      <c r="M68" s="101">
        <f t="shared" si="17"/>
        <v>0</v>
      </c>
    </row>
    <row r="69" spans="1:13">
      <c r="A69" s="101" t="s">
        <v>163</v>
      </c>
      <c r="B69" s="101">
        <f t="shared" si="17"/>
        <v>0</v>
      </c>
      <c r="C69" s="101">
        <f t="shared" si="17"/>
        <v>3.493073824478611E-3</v>
      </c>
      <c r="D69" s="101">
        <f t="shared" si="17"/>
        <v>0</v>
      </c>
      <c r="E69" s="101">
        <f t="shared" si="17"/>
        <v>1.6426834055932693E-3</v>
      </c>
      <c r="F69" s="101">
        <f t="shared" si="17"/>
        <v>0</v>
      </c>
      <c r="G69" s="101">
        <f t="shared" si="17"/>
        <v>1.2605384780824314E-2</v>
      </c>
      <c r="H69" s="101">
        <f t="shared" si="17"/>
        <v>1.7251084244863935E-3</v>
      </c>
      <c r="I69" s="101">
        <f t="shared" si="17"/>
        <v>1.8223673454363632E-3</v>
      </c>
      <c r="J69" s="101">
        <f t="shared" si="17"/>
        <v>0</v>
      </c>
      <c r="K69" s="101">
        <f t="shared" si="17"/>
        <v>0</v>
      </c>
      <c r="L69" s="101">
        <f t="shared" si="17"/>
        <v>0</v>
      </c>
      <c r="M69" s="101">
        <f t="shared" si="17"/>
        <v>0</v>
      </c>
    </row>
    <row r="70" spans="1:13">
      <c r="A70" s="101" t="s">
        <v>164</v>
      </c>
      <c r="B70" s="101">
        <f t="shared" si="17"/>
        <v>0</v>
      </c>
      <c r="C70" s="101">
        <f t="shared" si="17"/>
        <v>0</v>
      </c>
      <c r="D70" s="101">
        <f t="shared" si="17"/>
        <v>0</v>
      </c>
      <c r="E70" s="101">
        <f t="shared" si="17"/>
        <v>0</v>
      </c>
      <c r="F70" s="101">
        <f t="shared" si="17"/>
        <v>2.7158585819086344E-3</v>
      </c>
      <c r="G70" s="101">
        <f t="shared" si="17"/>
        <v>2.9546579883523412E-3</v>
      </c>
      <c r="H70" s="101">
        <f t="shared" si="17"/>
        <v>1.1322062223615923E-2</v>
      </c>
      <c r="I70" s="101">
        <f t="shared" si="17"/>
        <v>2.9900956059412914E-3</v>
      </c>
      <c r="J70" s="101">
        <f t="shared" si="17"/>
        <v>0</v>
      </c>
      <c r="K70" s="101">
        <f t="shared" si="17"/>
        <v>0</v>
      </c>
      <c r="L70" s="101">
        <f t="shared" si="17"/>
        <v>0</v>
      </c>
      <c r="M70" s="101">
        <f t="shared" si="17"/>
        <v>0</v>
      </c>
    </row>
    <row r="71" spans="1:13">
      <c r="A71" s="101" t="s">
        <v>153</v>
      </c>
      <c r="B71" s="101">
        <f t="shared" si="17"/>
        <v>0.11656484856244895</v>
      </c>
      <c r="C71" s="101">
        <f t="shared" si="17"/>
        <v>0.11277848457306101</v>
      </c>
      <c r="D71" s="101">
        <f t="shared" si="17"/>
        <v>0.2635114880809834</v>
      </c>
      <c r="E71" s="101">
        <f t="shared" si="17"/>
        <v>0.42428956140089902</v>
      </c>
      <c r="F71" s="101">
        <f t="shared" si="17"/>
        <v>0.16032370732663342</v>
      </c>
      <c r="G71" s="101">
        <f t="shared" si="17"/>
        <v>0.15988556323202546</v>
      </c>
      <c r="H71" s="101">
        <f t="shared" si="17"/>
        <v>5.5697395364049121E-2</v>
      </c>
      <c r="I71" s="101">
        <f t="shared" si="17"/>
        <v>0.17651258279754986</v>
      </c>
      <c r="J71" s="101">
        <f t="shared" si="17"/>
        <v>0</v>
      </c>
      <c r="K71" s="101">
        <f t="shared" si="17"/>
        <v>0</v>
      </c>
      <c r="L71" s="101">
        <f t="shared" si="17"/>
        <v>0</v>
      </c>
      <c r="M71" s="101">
        <f t="shared" si="17"/>
        <v>0</v>
      </c>
    </row>
    <row r="72" spans="1:13">
      <c r="A72" s="101" t="s">
        <v>154</v>
      </c>
      <c r="B72" s="101">
        <f t="shared" si="17"/>
        <v>7.8093516314757761E-3</v>
      </c>
      <c r="C72" s="101">
        <f t="shared" si="17"/>
        <v>7.5556812654730583E-3</v>
      </c>
      <c r="D72" s="101">
        <f t="shared" si="17"/>
        <v>7.4333282956553833E-3</v>
      </c>
      <c r="E72" s="101">
        <f t="shared" si="17"/>
        <v>7.1064013281180189E-3</v>
      </c>
      <c r="F72" s="101">
        <f t="shared" si="17"/>
        <v>7.1606733408698517E-3</v>
      </c>
      <c r="G72" s="101">
        <f t="shared" si="17"/>
        <v>7.7902954261020226E-3</v>
      </c>
      <c r="H72" s="101">
        <f t="shared" si="17"/>
        <v>7.4629796327005168E-3</v>
      </c>
      <c r="I72" s="101">
        <f t="shared" si="17"/>
        <v>7.883730778451923E-3</v>
      </c>
      <c r="J72" s="101">
        <f t="shared" si="17"/>
        <v>0</v>
      </c>
      <c r="K72" s="101">
        <f t="shared" si="17"/>
        <v>0</v>
      </c>
      <c r="L72" s="101">
        <f t="shared" si="17"/>
        <v>0</v>
      </c>
      <c r="M72" s="101">
        <f t="shared" si="17"/>
        <v>0</v>
      </c>
    </row>
    <row r="73" spans="1:13">
      <c r="A73" s="101" t="s">
        <v>165</v>
      </c>
      <c r="B73" s="101">
        <f t="shared" si="17"/>
        <v>15.875625799806075</v>
      </c>
      <c r="C73" s="101">
        <f t="shared" si="17"/>
        <v>15.879665834161466</v>
      </c>
      <c r="D73" s="101">
        <f t="shared" si="17"/>
        <v>15.729055183623361</v>
      </c>
      <c r="E73" s="101">
        <f t="shared" si="17"/>
        <v>15.568604037270983</v>
      </c>
      <c r="F73" s="101">
        <f t="shared" si="17"/>
        <v>15.832515619332497</v>
      </c>
      <c r="G73" s="101">
        <f t="shared" si="17"/>
        <v>15.832324141341873</v>
      </c>
      <c r="H73" s="101">
        <f t="shared" si="17"/>
        <v>15.93683962500325</v>
      </c>
      <c r="I73" s="101">
        <f t="shared" si="17"/>
        <v>15.815603686423998</v>
      </c>
      <c r="J73" s="101">
        <f t="shared" si="17"/>
        <v>16</v>
      </c>
      <c r="K73" s="101">
        <f t="shared" si="17"/>
        <v>16</v>
      </c>
      <c r="L73" s="101">
        <f t="shared" si="17"/>
        <v>16</v>
      </c>
      <c r="M73" s="101">
        <f t="shared" si="17"/>
        <v>16</v>
      </c>
    </row>
    <row r="75" spans="1:13">
      <c r="A75" s="101" t="s">
        <v>158</v>
      </c>
      <c r="B75" s="101">
        <f t="shared" ref="B75:M75" si="18">SUM(B54:B73)</f>
        <v>35.890003176962821</v>
      </c>
      <c r="C75" s="101">
        <f t="shared" si="18"/>
        <v>35.858513687635266</v>
      </c>
      <c r="D75" s="101">
        <f t="shared" si="18"/>
        <v>35.524813171336866</v>
      </c>
      <c r="E75" s="101">
        <f t="shared" si="18"/>
        <v>35.668738715760881</v>
      </c>
      <c r="F75" s="101">
        <f t="shared" si="18"/>
        <v>35.788590168276507</v>
      </c>
      <c r="G75" s="101">
        <f t="shared" si="18"/>
        <v>35.867981466444355</v>
      </c>
      <c r="H75" s="101">
        <f t="shared" si="18"/>
        <v>35.706500423140398</v>
      </c>
      <c r="I75" s="101">
        <f t="shared" si="18"/>
        <v>35.928091870574789</v>
      </c>
      <c r="J75" s="101">
        <f t="shared" si="18"/>
        <v>35.986364921547136</v>
      </c>
      <c r="K75" s="101">
        <f t="shared" si="18"/>
        <v>35.888697820134276</v>
      </c>
      <c r="L75" s="101">
        <f t="shared" si="18"/>
        <v>36.26420764082409</v>
      </c>
      <c r="M75" s="101">
        <f t="shared" si="18"/>
        <v>36.107472180880613</v>
      </c>
    </row>
    <row r="77" spans="1:13">
      <c r="A77" s="101" t="s">
        <v>166</v>
      </c>
      <c r="B77" s="101" t="str">
        <f t="shared" ref="B77:M77" si="19">IF(OR(B34&gt;4),"no","yes")</f>
        <v>yes</v>
      </c>
      <c r="C77" s="101" t="str">
        <f t="shared" si="19"/>
        <v>yes</v>
      </c>
      <c r="D77" s="101" t="str">
        <f t="shared" si="19"/>
        <v>yes</v>
      </c>
      <c r="E77" s="101" t="str">
        <f t="shared" si="19"/>
        <v>yes</v>
      </c>
      <c r="F77" s="101" t="str">
        <f t="shared" si="19"/>
        <v>yes</v>
      </c>
      <c r="G77" s="101" t="str">
        <f t="shared" si="19"/>
        <v>yes</v>
      </c>
      <c r="H77" s="101" t="str">
        <f t="shared" si="19"/>
        <v>yes</v>
      </c>
      <c r="I77" s="101" t="str">
        <f t="shared" si="19"/>
        <v>yes</v>
      </c>
      <c r="J77" s="101" t="str">
        <f t="shared" si="19"/>
        <v>yes</v>
      </c>
      <c r="K77" s="101" t="str">
        <f t="shared" si="19"/>
        <v>yes</v>
      </c>
      <c r="L77" s="101" t="str">
        <f t="shared" si="19"/>
        <v>yes</v>
      </c>
      <c r="M77" s="101" t="str">
        <f t="shared" si="19"/>
        <v>yes</v>
      </c>
    </row>
    <row r="78" spans="1:13">
      <c r="A78" s="101" t="s">
        <v>167</v>
      </c>
      <c r="B78" s="101">
        <f t="shared" ref="B78:M78" si="20">B87</f>
        <v>0.91508556388213114</v>
      </c>
      <c r="C78" s="101">
        <f t="shared" si="20"/>
        <v>0.74980375265009269</v>
      </c>
      <c r="D78" s="101">
        <f t="shared" si="20"/>
        <v>0.78714940424916624</v>
      </c>
      <c r="E78" s="101">
        <f t="shared" si="20"/>
        <v>0.45100054370808923</v>
      </c>
      <c r="F78" s="101">
        <f t="shared" si="20"/>
        <v>0.44826159713523378</v>
      </c>
      <c r="G78" s="101">
        <f t="shared" si="20"/>
        <v>0.84023367143611838</v>
      </c>
      <c r="H78" s="101">
        <f t="shared" si="20"/>
        <v>0.83276184023946653</v>
      </c>
      <c r="I78" s="101">
        <f t="shared" si="20"/>
        <v>0.82457221761883881</v>
      </c>
      <c r="J78" s="101">
        <f t="shared" si="20"/>
        <v>0.21836011344163286</v>
      </c>
      <c r="K78" s="101">
        <f t="shared" si="20"/>
        <v>0.47899954366641639</v>
      </c>
      <c r="L78" s="101">
        <f t="shared" si="20"/>
        <v>0.11399826601289445</v>
      </c>
      <c r="M78" s="101">
        <f t="shared" si="20"/>
        <v>0.27891234735808706</v>
      </c>
    </row>
    <row r="79" spans="1:13">
      <c r="A79" s="101" t="s">
        <v>168</v>
      </c>
      <c r="B79" s="101" t="str">
        <f t="shared" ref="B79:M79" si="21">B101</f>
        <v>daphnite</v>
      </c>
      <c r="C79" s="101" t="str">
        <f t="shared" si="21"/>
        <v>ripidolite</v>
      </c>
      <c r="D79" s="101" t="str">
        <f t="shared" si="21"/>
        <v>ripidolite</v>
      </c>
      <c r="E79" s="101" t="str">
        <f t="shared" si="21"/>
        <v>pycnochlorite</v>
      </c>
      <c r="F79" s="101" t="str">
        <f t="shared" si="21"/>
        <v>pycnochlorite</v>
      </c>
      <c r="G79" s="101" t="str">
        <f t="shared" si="21"/>
        <v>daphnite</v>
      </c>
      <c r="H79" s="101" t="str">
        <f t="shared" si="21"/>
        <v>no name</v>
      </c>
      <c r="I79" s="101" t="str">
        <f t="shared" si="21"/>
        <v>daphnite</v>
      </c>
      <c r="J79" s="101" t="str">
        <f t="shared" si="21"/>
        <v>ripidolite</v>
      </c>
      <c r="K79" s="101" t="str">
        <f t="shared" si="21"/>
        <v>ripidolite</v>
      </c>
      <c r="L79" s="101" t="str">
        <f t="shared" si="21"/>
        <v>clinochlore</v>
      </c>
      <c r="M79" s="101" t="str">
        <f t="shared" si="21"/>
        <v>pycnochlorite</v>
      </c>
    </row>
    <row r="82" spans="1:13">
      <c r="A82" s="101" t="s">
        <v>169</v>
      </c>
      <c r="B82" s="101">
        <f t="shared" ref="B82:M82" si="22">B148</f>
        <v>5.3551997565389939</v>
      </c>
      <c r="C82" s="101">
        <f t="shared" si="22"/>
        <v>4.9370255978406901</v>
      </c>
      <c r="D82" s="101">
        <f t="shared" si="22"/>
        <v>5.5837916740172044</v>
      </c>
      <c r="E82" s="101">
        <f t="shared" si="22"/>
        <v>4.4914753479206695</v>
      </c>
      <c r="F82" s="101">
        <f t="shared" si="22"/>
        <v>4.4490425944608081</v>
      </c>
      <c r="G82" s="101">
        <f t="shared" si="22"/>
        <v>5.2686177702856218</v>
      </c>
      <c r="H82" s="101">
        <f t="shared" si="22"/>
        <v>5.1259010327261585</v>
      </c>
      <c r="I82" s="101">
        <f t="shared" si="22"/>
        <v>5.2899326099866988</v>
      </c>
      <c r="J82" s="101">
        <f t="shared" si="22"/>
        <v>5.2263202030915759</v>
      </c>
      <c r="K82" s="101">
        <f t="shared" si="22"/>
        <v>5.2105962144567934</v>
      </c>
      <c r="L82" s="101">
        <f t="shared" si="22"/>
        <v>4.1001348524836221</v>
      </c>
      <c r="M82" s="101">
        <f t="shared" si="22"/>
        <v>4.4910887946976938</v>
      </c>
    </row>
    <row r="83" spans="1:13">
      <c r="A83" s="101" t="s">
        <v>170</v>
      </c>
      <c r="B83" s="101">
        <f t="shared" ref="B83:M83" si="23">IF(OR(B54+B82&gt;8),8-B54,B82)</f>
        <v>2.651139968299506</v>
      </c>
      <c r="C83" s="101">
        <f t="shared" si="23"/>
        <v>2.4036562650855302</v>
      </c>
      <c r="D83" s="101">
        <f t="shared" si="23"/>
        <v>2.5162070919409274</v>
      </c>
      <c r="E83" s="101">
        <f t="shared" si="23"/>
        <v>2.1662612492211331</v>
      </c>
      <c r="F83" s="101">
        <f t="shared" si="23"/>
        <v>2.1111475671864257</v>
      </c>
      <c r="G83" s="101">
        <f t="shared" si="23"/>
        <v>2.5952540509593547</v>
      </c>
      <c r="H83" s="101">
        <f t="shared" si="23"/>
        <v>2.113492534394493</v>
      </c>
      <c r="I83" s="101">
        <f t="shared" si="23"/>
        <v>2.6536818874606318</v>
      </c>
      <c r="J83" s="101">
        <f t="shared" si="23"/>
        <v>2.5616192690179522</v>
      </c>
      <c r="K83" s="101">
        <f t="shared" si="23"/>
        <v>2.6635820436404583</v>
      </c>
      <c r="L83" s="101">
        <f t="shared" si="23"/>
        <v>2.262738770404181</v>
      </c>
      <c r="M83" s="101">
        <f t="shared" si="23"/>
        <v>2.3447802572743974</v>
      </c>
    </row>
    <row r="84" spans="1:13">
      <c r="A84" s="101" t="s">
        <v>171</v>
      </c>
      <c r="B84" s="101">
        <f t="shared" ref="B84:M84" si="24">IF(OR(B83&gt;0),B83,0)</f>
        <v>2.651139968299506</v>
      </c>
      <c r="C84" s="101">
        <f t="shared" si="24"/>
        <v>2.4036562650855302</v>
      </c>
      <c r="D84" s="101">
        <f t="shared" si="24"/>
        <v>2.5162070919409274</v>
      </c>
      <c r="E84" s="101">
        <f t="shared" si="24"/>
        <v>2.1662612492211331</v>
      </c>
      <c r="F84" s="101">
        <f t="shared" si="24"/>
        <v>2.1111475671864257</v>
      </c>
      <c r="G84" s="101">
        <f t="shared" si="24"/>
        <v>2.5952540509593547</v>
      </c>
      <c r="H84" s="101">
        <f t="shared" si="24"/>
        <v>2.113492534394493</v>
      </c>
      <c r="I84" s="101">
        <f t="shared" si="24"/>
        <v>2.6536818874606318</v>
      </c>
      <c r="J84" s="101">
        <f t="shared" si="24"/>
        <v>2.5616192690179522</v>
      </c>
      <c r="K84" s="101">
        <f t="shared" si="24"/>
        <v>2.6635820436404583</v>
      </c>
      <c r="L84" s="101">
        <f t="shared" si="24"/>
        <v>2.262738770404181</v>
      </c>
      <c r="M84" s="101">
        <f t="shared" si="24"/>
        <v>2.3447802572743974</v>
      </c>
    </row>
    <row r="85" spans="1:13">
      <c r="A85" s="101" t="s">
        <v>161</v>
      </c>
      <c r="B85" s="101">
        <f t="shared" ref="B85:M85" si="25">B82-B84</f>
        <v>2.7040597882394879</v>
      </c>
      <c r="C85" s="101">
        <f t="shared" si="25"/>
        <v>2.5333693327551599</v>
      </c>
      <c r="D85" s="101">
        <f t="shared" si="25"/>
        <v>3.067584582076277</v>
      </c>
      <c r="E85" s="101">
        <f t="shared" si="25"/>
        <v>2.3252140986995364</v>
      </c>
      <c r="F85" s="101">
        <f t="shared" si="25"/>
        <v>2.3378950272743824</v>
      </c>
      <c r="G85" s="101">
        <f t="shared" si="25"/>
        <v>2.6733637193262672</v>
      </c>
      <c r="H85" s="101">
        <f t="shared" si="25"/>
        <v>3.0124084983316655</v>
      </c>
      <c r="I85" s="101">
        <f t="shared" si="25"/>
        <v>2.636250722526067</v>
      </c>
      <c r="J85" s="101">
        <f t="shared" si="25"/>
        <v>2.6647009340736236</v>
      </c>
      <c r="K85" s="101">
        <f t="shared" si="25"/>
        <v>2.5470141708163352</v>
      </c>
      <c r="L85" s="101">
        <f t="shared" si="25"/>
        <v>1.8373960820794411</v>
      </c>
      <c r="M85" s="101">
        <f t="shared" si="25"/>
        <v>2.1463085374232964</v>
      </c>
    </row>
    <row r="86" spans="1:13">
      <c r="A86" s="101" t="s">
        <v>18</v>
      </c>
      <c r="B86" s="101">
        <f t="shared" ref="B86:M86" si="26">B54</f>
        <v>5.348860031700494</v>
      </c>
      <c r="C86" s="101">
        <f t="shared" si="26"/>
        <v>5.5963437349144698</v>
      </c>
      <c r="D86" s="101">
        <f t="shared" si="26"/>
        <v>5.4837929080590726</v>
      </c>
      <c r="E86" s="101">
        <f t="shared" si="26"/>
        <v>5.8337387507788669</v>
      </c>
      <c r="F86" s="101">
        <f t="shared" si="26"/>
        <v>5.8888524328135743</v>
      </c>
      <c r="G86" s="101">
        <f t="shared" si="26"/>
        <v>5.4047459490406453</v>
      </c>
      <c r="H86" s="101">
        <f t="shared" si="26"/>
        <v>5.886507465605507</v>
      </c>
      <c r="I86" s="101">
        <f t="shared" si="26"/>
        <v>5.3463181125393682</v>
      </c>
      <c r="J86" s="101">
        <f t="shared" si="26"/>
        <v>5.4383807309820478</v>
      </c>
      <c r="K86" s="101">
        <f t="shared" si="26"/>
        <v>5.3364179563595417</v>
      </c>
      <c r="L86" s="101">
        <f t="shared" si="26"/>
        <v>5.737261229595819</v>
      </c>
      <c r="M86" s="101">
        <f t="shared" si="26"/>
        <v>5.6552197427256026</v>
      </c>
    </row>
    <row r="87" spans="1:13">
      <c r="A87" s="101" t="s">
        <v>167</v>
      </c>
      <c r="B87" s="101">
        <f t="shared" ref="B87:M87" si="27">(B60+B61)/(B60+B61+B63)</f>
        <v>0.91508556388213114</v>
      </c>
      <c r="C87" s="101">
        <f t="shared" si="27"/>
        <v>0.74980375265009269</v>
      </c>
      <c r="D87" s="101">
        <f t="shared" si="27"/>
        <v>0.78714940424916624</v>
      </c>
      <c r="E87" s="101">
        <f t="shared" si="27"/>
        <v>0.45100054370808923</v>
      </c>
      <c r="F87" s="101">
        <f t="shared" si="27"/>
        <v>0.44826159713523378</v>
      </c>
      <c r="G87" s="101">
        <f t="shared" si="27"/>
        <v>0.84023367143611838</v>
      </c>
      <c r="H87" s="101">
        <f t="shared" si="27"/>
        <v>0.83276184023946653</v>
      </c>
      <c r="I87" s="101">
        <f t="shared" si="27"/>
        <v>0.82457221761883881</v>
      </c>
      <c r="J87" s="101">
        <f t="shared" si="27"/>
        <v>0.21836011344163286</v>
      </c>
      <c r="K87" s="101">
        <f t="shared" si="27"/>
        <v>0.47899954366641639</v>
      </c>
      <c r="L87" s="101">
        <f t="shared" si="27"/>
        <v>0.11399826601289445</v>
      </c>
      <c r="M87" s="101">
        <f t="shared" si="27"/>
        <v>0.27891234735808706</v>
      </c>
    </row>
    <row r="89" spans="1:13">
      <c r="A89" s="101" t="s">
        <v>172</v>
      </c>
      <c r="B89" s="101" t="b">
        <f t="shared" ref="B89:M89" si="28">IF(AND(B54&lt;5,B87&lt;0.5),IF(AND(B54&gt;=4,B87&gt;=0),"corundophylite",FALSE))</f>
        <v>0</v>
      </c>
      <c r="C89" s="101" t="b">
        <f t="shared" si="28"/>
        <v>0</v>
      </c>
      <c r="D89" s="101" t="b">
        <f t="shared" si="28"/>
        <v>0</v>
      </c>
      <c r="E89" s="101" t="b">
        <f t="shared" si="28"/>
        <v>0</v>
      </c>
      <c r="F89" s="101" t="b">
        <f t="shared" si="28"/>
        <v>0</v>
      </c>
      <c r="G89" s="101" t="b">
        <f t="shared" si="28"/>
        <v>0</v>
      </c>
      <c r="H89" s="101" t="b">
        <f t="shared" si="28"/>
        <v>0</v>
      </c>
      <c r="I89" s="101" t="b">
        <f t="shared" si="28"/>
        <v>0</v>
      </c>
      <c r="J89" s="101" t="b">
        <f t="shared" si="28"/>
        <v>0</v>
      </c>
      <c r="K89" s="101" t="b">
        <f t="shared" si="28"/>
        <v>0</v>
      </c>
      <c r="L89" s="101" t="b">
        <f t="shared" si="28"/>
        <v>0</v>
      </c>
      <c r="M89" s="101" t="b">
        <f t="shared" si="28"/>
        <v>0</v>
      </c>
    </row>
    <row r="90" spans="1:13">
      <c r="B90" s="101" t="b">
        <f t="shared" ref="B90:M90" si="29">IF(AND(B54&lt;5.6,B87&lt;0.2),IF(AND(B54&gt;=5,B87&gt;=0),"sheridanite",FALSE))</f>
        <v>0</v>
      </c>
      <c r="C90" s="101" t="b">
        <f t="shared" si="29"/>
        <v>0</v>
      </c>
      <c r="D90" s="101" t="b">
        <f t="shared" si="29"/>
        <v>0</v>
      </c>
      <c r="E90" s="101" t="b">
        <f t="shared" si="29"/>
        <v>0</v>
      </c>
      <c r="F90" s="101" t="b">
        <f t="shared" si="29"/>
        <v>0</v>
      </c>
      <c r="G90" s="101" t="b">
        <f t="shared" si="29"/>
        <v>0</v>
      </c>
      <c r="H90" s="101" t="b">
        <f t="shared" si="29"/>
        <v>0</v>
      </c>
      <c r="I90" s="101" t="b">
        <f t="shared" si="29"/>
        <v>0</v>
      </c>
      <c r="J90" s="101" t="b">
        <f t="shared" si="29"/>
        <v>0</v>
      </c>
      <c r="K90" s="101" t="b">
        <f t="shared" si="29"/>
        <v>0</v>
      </c>
      <c r="L90" s="101" t="b">
        <f t="shared" si="29"/>
        <v>0</v>
      </c>
      <c r="M90" s="101" t="b">
        <f t="shared" si="29"/>
        <v>0</v>
      </c>
    </row>
    <row r="91" spans="1:13">
      <c r="B91" s="101" t="b">
        <f t="shared" ref="B91:M91" si="30">IF(AND(B54&lt;6.2,B87&lt;0.2),IF(AND(B54&gt;=5.6,B87&gt;=0),"clinochlore",FALSE))</f>
        <v>0</v>
      </c>
      <c r="C91" s="101" t="b">
        <f t="shared" si="30"/>
        <v>0</v>
      </c>
      <c r="D91" s="101" t="b">
        <f t="shared" si="30"/>
        <v>0</v>
      </c>
      <c r="E91" s="101" t="b">
        <f t="shared" si="30"/>
        <v>0</v>
      </c>
      <c r="F91" s="101" t="b">
        <f t="shared" si="30"/>
        <v>0</v>
      </c>
      <c r="G91" s="101" t="b">
        <f t="shared" si="30"/>
        <v>0</v>
      </c>
      <c r="H91" s="101" t="b">
        <f t="shared" si="30"/>
        <v>0</v>
      </c>
      <c r="I91" s="101" t="b">
        <f t="shared" si="30"/>
        <v>0</v>
      </c>
      <c r="J91" s="101" t="b">
        <f t="shared" si="30"/>
        <v>0</v>
      </c>
      <c r="K91" s="101" t="b">
        <f t="shared" si="30"/>
        <v>0</v>
      </c>
      <c r="L91" s="101" t="str">
        <f t="shared" si="30"/>
        <v>clinochlore</v>
      </c>
      <c r="M91" s="101" t="b">
        <f t="shared" si="30"/>
        <v>0</v>
      </c>
    </row>
    <row r="92" spans="1:13">
      <c r="B92" s="101" t="b">
        <f t="shared" ref="B92:M92" si="31">IF(AND(B54&lt;7,B87&lt;0.2),IF(AND(B54&gt;=6.2,B87&gt;=0),"penninite",FALSE))</f>
        <v>0</v>
      </c>
      <c r="C92" s="101" t="b">
        <f t="shared" si="31"/>
        <v>0</v>
      </c>
      <c r="D92" s="101" t="b">
        <f t="shared" si="31"/>
        <v>0</v>
      </c>
      <c r="E92" s="101" t="b">
        <f t="shared" si="31"/>
        <v>0</v>
      </c>
      <c r="F92" s="101" t="b">
        <f t="shared" si="31"/>
        <v>0</v>
      </c>
      <c r="G92" s="101" t="b">
        <f t="shared" si="31"/>
        <v>0</v>
      </c>
      <c r="H92" s="101" t="b">
        <f t="shared" si="31"/>
        <v>0</v>
      </c>
      <c r="I92" s="101" t="b">
        <f t="shared" si="31"/>
        <v>0</v>
      </c>
      <c r="J92" s="101" t="b">
        <f t="shared" si="31"/>
        <v>0</v>
      </c>
      <c r="K92" s="101" t="b">
        <f t="shared" si="31"/>
        <v>0</v>
      </c>
      <c r="L92" s="101" t="b">
        <f t="shared" si="31"/>
        <v>0</v>
      </c>
      <c r="M92" s="101" t="b">
        <f t="shared" si="31"/>
        <v>0</v>
      </c>
    </row>
    <row r="93" spans="1:13">
      <c r="B93" s="101" t="b">
        <f t="shared" ref="B93:M93" si="32">IF(AND(B54&lt;8,B87&lt;0.2),IF(AND(B54&gt;=7,B87&gt;=0),"talc-chlorite",FALSE))</f>
        <v>0</v>
      </c>
      <c r="C93" s="101" t="b">
        <f t="shared" si="32"/>
        <v>0</v>
      </c>
      <c r="D93" s="101" t="b">
        <f t="shared" si="32"/>
        <v>0</v>
      </c>
      <c r="E93" s="101" t="b">
        <f t="shared" si="32"/>
        <v>0</v>
      </c>
      <c r="F93" s="101" t="b">
        <f t="shared" si="32"/>
        <v>0</v>
      </c>
      <c r="G93" s="101" t="b">
        <f t="shared" si="32"/>
        <v>0</v>
      </c>
      <c r="H93" s="101" t="b">
        <f t="shared" si="32"/>
        <v>0</v>
      </c>
      <c r="I93" s="101" t="b">
        <f t="shared" si="32"/>
        <v>0</v>
      </c>
      <c r="J93" s="101" t="b">
        <f t="shared" si="32"/>
        <v>0</v>
      </c>
      <c r="K93" s="101" t="b">
        <f t="shared" si="32"/>
        <v>0</v>
      </c>
      <c r="L93" s="101" t="b">
        <f t="shared" si="32"/>
        <v>0</v>
      </c>
      <c r="M93" s="101" t="b">
        <f t="shared" si="32"/>
        <v>0</v>
      </c>
    </row>
    <row r="94" spans="1:13">
      <c r="B94" s="101" t="b">
        <f t="shared" ref="B94:M94" si="33">IF(AND(B54&lt;5,B87&lt;=1),IF(AND(B54&gt;=4,B87&gt;=0.5),"pseudothuringite",FALSE))</f>
        <v>0</v>
      </c>
      <c r="C94" s="101" t="b">
        <f t="shared" si="33"/>
        <v>0</v>
      </c>
      <c r="D94" s="101" t="b">
        <f t="shared" si="33"/>
        <v>0</v>
      </c>
      <c r="E94" s="101" t="b">
        <f t="shared" si="33"/>
        <v>0</v>
      </c>
      <c r="F94" s="101" t="b">
        <f t="shared" si="33"/>
        <v>0</v>
      </c>
      <c r="G94" s="101" t="b">
        <f t="shared" si="33"/>
        <v>0</v>
      </c>
      <c r="H94" s="101" t="b">
        <f t="shared" si="33"/>
        <v>0</v>
      </c>
      <c r="I94" s="101" t="b">
        <f t="shared" si="33"/>
        <v>0</v>
      </c>
      <c r="J94" s="101" t="b">
        <f t="shared" si="33"/>
        <v>0</v>
      </c>
      <c r="K94" s="101" t="b">
        <f t="shared" si="33"/>
        <v>0</v>
      </c>
      <c r="L94" s="101" t="b">
        <f t="shared" si="33"/>
        <v>0</v>
      </c>
      <c r="M94" s="101" t="b">
        <f t="shared" si="33"/>
        <v>0</v>
      </c>
    </row>
    <row r="95" spans="1:13">
      <c r="B95" s="101" t="b">
        <f t="shared" ref="B95:M95" si="34">IF(AND(B54&lt;5.6,B87&lt;0.8),IF(AND(B54&gt;=5,B87&gt;=0.2),"ripidolite",FALSE))</f>
        <v>0</v>
      </c>
      <c r="C95" s="101" t="str">
        <f t="shared" si="34"/>
        <v>ripidolite</v>
      </c>
      <c r="D95" s="101" t="str">
        <f t="shared" si="34"/>
        <v>ripidolite</v>
      </c>
      <c r="E95" s="101" t="b">
        <f t="shared" si="34"/>
        <v>0</v>
      </c>
      <c r="F95" s="101" t="b">
        <f t="shared" si="34"/>
        <v>0</v>
      </c>
      <c r="G95" s="101" t="b">
        <f t="shared" si="34"/>
        <v>0</v>
      </c>
      <c r="H95" s="101" t="b">
        <f t="shared" si="34"/>
        <v>0</v>
      </c>
      <c r="I95" s="101" t="b">
        <f t="shared" si="34"/>
        <v>0</v>
      </c>
      <c r="J95" s="101" t="str">
        <f t="shared" si="34"/>
        <v>ripidolite</v>
      </c>
      <c r="K95" s="101" t="str">
        <f t="shared" si="34"/>
        <v>ripidolite</v>
      </c>
      <c r="L95" s="101" t="b">
        <f t="shared" si="34"/>
        <v>0</v>
      </c>
      <c r="M95" s="101" t="b">
        <f t="shared" si="34"/>
        <v>0</v>
      </c>
    </row>
    <row r="96" spans="1:13">
      <c r="B96" s="101" t="str">
        <f t="shared" ref="B96:M96" si="35">IF(AND(B54&lt;5.6,B87&lt;=1),IF(AND(B54&gt;=5,B87&gt;=0.8),"daphnite",FALSE))</f>
        <v>daphnite</v>
      </c>
      <c r="C96" s="101" t="b">
        <f t="shared" si="35"/>
        <v>0</v>
      </c>
      <c r="D96" s="101" t="b">
        <f t="shared" si="35"/>
        <v>0</v>
      </c>
      <c r="E96" s="101" t="b">
        <f t="shared" si="35"/>
        <v>0</v>
      </c>
      <c r="F96" s="101" t="b">
        <f t="shared" si="35"/>
        <v>0</v>
      </c>
      <c r="G96" s="101" t="str">
        <f t="shared" si="35"/>
        <v>daphnite</v>
      </c>
      <c r="H96" s="101" t="b">
        <f t="shared" si="35"/>
        <v>0</v>
      </c>
      <c r="I96" s="101" t="str">
        <f t="shared" si="35"/>
        <v>daphnite</v>
      </c>
      <c r="J96" s="101" t="b">
        <f t="shared" si="35"/>
        <v>0</v>
      </c>
      <c r="K96" s="101" t="b">
        <f t="shared" si="35"/>
        <v>0</v>
      </c>
      <c r="L96" s="101" t="b">
        <f t="shared" si="35"/>
        <v>0</v>
      </c>
      <c r="M96" s="101" t="b">
        <f t="shared" si="35"/>
        <v>0</v>
      </c>
    </row>
    <row r="97" spans="1:13">
      <c r="B97" s="101" t="b">
        <f t="shared" ref="B97:M97" si="36">IF(AND(B54&lt;6.2,B87&lt;0.5),IF(AND(B54&gt;=5.6,B87&gt;=0.2),"pycnochlorite",FALSE))</f>
        <v>0</v>
      </c>
      <c r="C97" s="101" t="b">
        <f t="shared" si="36"/>
        <v>0</v>
      </c>
      <c r="D97" s="101" t="b">
        <f t="shared" si="36"/>
        <v>0</v>
      </c>
      <c r="E97" s="101" t="str">
        <f t="shared" si="36"/>
        <v>pycnochlorite</v>
      </c>
      <c r="F97" s="101" t="str">
        <f t="shared" si="36"/>
        <v>pycnochlorite</v>
      </c>
      <c r="G97" s="101" t="b">
        <f t="shared" si="36"/>
        <v>0</v>
      </c>
      <c r="H97" s="101" t="b">
        <f t="shared" si="36"/>
        <v>0</v>
      </c>
      <c r="I97" s="101" t="b">
        <f t="shared" si="36"/>
        <v>0</v>
      </c>
      <c r="J97" s="101" t="b">
        <f t="shared" si="36"/>
        <v>0</v>
      </c>
      <c r="K97" s="101" t="b">
        <f t="shared" si="36"/>
        <v>0</v>
      </c>
      <c r="L97" s="101" t="b">
        <f t="shared" si="36"/>
        <v>0</v>
      </c>
      <c r="M97" s="101" t="str">
        <f t="shared" si="36"/>
        <v>pycnochlorite</v>
      </c>
    </row>
    <row r="98" spans="1:13">
      <c r="B98" s="101" t="b">
        <f t="shared" ref="B98:M98" si="37">IF(AND(B54&lt;6.2,B87&lt;0.8),IF(AND(B54&gt;=5.6,B87&gt;=0.5),"brunsvigite",FALSE))</f>
        <v>0</v>
      </c>
      <c r="C98" s="101" t="b">
        <f t="shared" si="37"/>
        <v>0</v>
      </c>
      <c r="D98" s="101" t="b">
        <f t="shared" si="37"/>
        <v>0</v>
      </c>
      <c r="E98" s="101" t="b">
        <f t="shared" si="37"/>
        <v>0</v>
      </c>
      <c r="F98" s="101" t="b">
        <f t="shared" si="37"/>
        <v>0</v>
      </c>
      <c r="G98" s="101" t="b">
        <f t="shared" si="37"/>
        <v>0</v>
      </c>
      <c r="H98" s="101" t="b">
        <f t="shared" si="37"/>
        <v>0</v>
      </c>
      <c r="I98" s="101" t="b">
        <f t="shared" si="37"/>
        <v>0</v>
      </c>
      <c r="J98" s="101" t="b">
        <f t="shared" si="37"/>
        <v>0</v>
      </c>
      <c r="K98" s="101" t="b">
        <f t="shared" si="37"/>
        <v>0</v>
      </c>
      <c r="L98" s="101" t="b">
        <f t="shared" si="37"/>
        <v>0</v>
      </c>
      <c r="M98" s="101" t="b">
        <f t="shared" si="37"/>
        <v>0</v>
      </c>
    </row>
    <row r="99" spans="1:13">
      <c r="B99" s="101" t="b">
        <f t="shared" ref="B99:M99" si="38">IF(AND(B54&lt;8,B87&lt;0.5),IF(AND(B54&gt;=6.2,B87&gt;=0.2),"diabantite",FALSE))</f>
        <v>0</v>
      </c>
      <c r="C99" s="101" t="b">
        <f t="shared" si="38"/>
        <v>0</v>
      </c>
      <c r="D99" s="101" t="b">
        <f t="shared" si="38"/>
        <v>0</v>
      </c>
      <c r="E99" s="101" t="b">
        <f t="shared" si="38"/>
        <v>0</v>
      </c>
      <c r="F99" s="101" t="b">
        <f t="shared" si="38"/>
        <v>0</v>
      </c>
      <c r="G99" s="101" t="b">
        <f t="shared" si="38"/>
        <v>0</v>
      </c>
      <c r="H99" s="101" t="b">
        <f t="shared" si="38"/>
        <v>0</v>
      </c>
      <c r="I99" s="101" t="b">
        <f t="shared" si="38"/>
        <v>0</v>
      </c>
      <c r="J99" s="101" t="b">
        <f t="shared" si="38"/>
        <v>0</v>
      </c>
      <c r="K99" s="101" t="b">
        <f t="shared" si="38"/>
        <v>0</v>
      </c>
      <c r="L99" s="101" t="b">
        <f t="shared" si="38"/>
        <v>0</v>
      </c>
      <c r="M99" s="101" t="b">
        <f t="shared" si="38"/>
        <v>0</v>
      </c>
    </row>
    <row r="100" spans="1:13">
      <c r="A100" s="101" t="s">
        <v>173</v>
      </c>
      <c r="B100" s="101" t="str">
        <f t="shared" ref="B100:M100" si="39">IF(NOT(B99=FALSE),B99,(IF(NOT(B98=FALSE),B98,(IF(NOT(B97=FALSE),B97,(IF(NOT(B96=FALSE),B96,(IF(NOT(B95=FALSE),B95,(IF(NOT(B94=FALSE),B94,(IF(NOT(B93=FALSE),B93,FALSE)))))))))))))</f>
        <v>daphnite</v>
      </c>
      <c r="C100" s="101" t="str">
        <f t="shared" si="39"/>
        <v>ripidolite</v>
      </c>
      <c r="D100" s="101" t="str">
        <f t="shared" si="39"/>
        <v>ripidolite</v>
      </c>
      <c r="E100" s="101" t="str">
        <f t="shared" si="39"/>
        <v>pycnochlorite</v>
      </c>
      <c r="F100" s="101" t="str">
        <f t="shared" si="39"/>
        <v>pycnochlorite</v>
      </c>
      <c r="G100" s="101" t="str">
        <f t="shared" si="39"/>
        <v>daphnite</v>
      </c>
      <c r="H100" s="101" t="b">
        <f t="shared" si="39"/>
        <v>0</v>
      </c>
      <c r="I100" s="101" t="str">
        <f t="shared" si="39"/>
        <v>daphnite</v>
      </c>
      <c r="J100" s="101" t="str">
        <f t="shared" si="39"/>
        <v>ripidolite</v>
      </c>
      <c r="K100" s="101" t="str">
        <f t="shared" si="39"/>
        <v>ripidolite</v>
      </c>
      <c r="L100" s="101" t="b">
        <f t="shared" si="39"/>
        <v>0</v>
      </c>
      <c r="M100" s="101" t="str">
        <f t="shared" si="39"/>
        <v>pycnochlorite</v>
      </c>
    </row>
    <row r="101" spans="1:13">
      <c r="A101" s="101" t="s">
        <v>174</v>
      </c>
      <c r="B101" s="101" t="str">
        <f t="shared" ref="B101:M101" si="40">IF(NOT(B100=FALSE),B100,(IF(NOT(B92=FALSE),B92,(IF(NOT(B91=FALSE),B91,(IF(NOT(B90=FALSE),B90,(IF(NOT(B89=FALSE),B89,"no name")))))))))</f>
        <v>daphnite</v>
      </c>
      <c r="C101" s="101" t="str">
        <f t="shared" si="40"/>
        <v>ripidolite</v>
      </c>
      <c r="D101" s="101" t="str">
        <f t="shared" si="40"/>
        <v>ripidolite</v>
      </c>
      <c r="E101" s="101" t="str">
        <f t="shared" si="40"/>
        <v>pycnochlorite</v>
      </c>
      <c r="F101" s="101" t="str">
        <f t="shared" si="40"/>
        <v>pycnochlorite</v>
      </c>
      <c r="G101" s="101" t="str">
        <f t="shared" si="40"/>
        <v>daphnite</v>
      </c>
      <c r="H101" s="101" t="str">
        <f t="shared" si="40"/>
        <v>no name</v>
      </c>
      <c r="I101" s="101" t="str">
        <f t="shared" si="40"/>
        <v>daphnite</v>
      </c>
      <c r="J101" s="101" t="str">
        <f t="shared" si="40"/>
        <v>ripidolite</v>
      </c>
      <c r="K101" s="101" t="str">
        <f t="shared" si="40"/>
        <v>ripidolite</v>
      </c>
      <c r="L101" s="101" t="str">
        <f t="shared" si="40"/>
        <v>clinochlore</v>
      </c>
      <c r="M101" s="101" t="str">
        <f t="shared" si="40"/>
        <v>pycnochlorite</v>
      </c>
    </row>
    <row r="103" spans="1:13">
      <c r="A103" s="101" t="s">
        <v>175</v>
      </c>
      <c r="B103" s="101" t="s">
        <v>176</v>
      </c>
    </row>
    <row r="104" spans="1:13">
      <c r="A104" s="101" t="s">
        <v>18</v>
      </c>
      <c r="B104" s="101">
        <f t="shared" ref="B104:M104" si="41">B30*2/60.09</f>
        <v>0.77284073889166238</v>
      </c>
      <c r="C104" s="101">
        <f t="shared" si="41"/>
        <v>0.8357463804293559</v>
      </c>
      <c r="D104" s="101">
        <f t="shared" si="41"/>
        <v>0.8324180396072558</v>
      </c>
      <c r="E104" s="101">
        <f t="shared" si="41"/>
        <v>0.92627725079048084</v>
      </c>
      <c r="F104" s="101">
        <f t="shared" si="41"/>
        <v>0.927941421201531</v>
      </c>
      <c r="G104" s="101">
        <f t="shared" si="41"/>
        <v>0.782825761357963</v>
      </c>
      <c r="H104" s="101">
        <f t="shared" si="41"/>
        <v>0.88999833582958887</v>
      </c>
      <c r="I104" s="101">
        <f t="shared" si="41"/>
        <v>0.76518555500083196</v>
      </c>
      <c r="J104" s="101">
        <f t="shared" si="41"/>
        <v>0.91995340322849062</v>
      </c>
      <c r="K104" s="101">
        <f t="shared" si="41"/>
        <v>0.85272091862206689</v>
      </c>
      <c r="L104" s="101">
        <f t="shared" si="41"/>
        <v>1.0084872690963553</v>
      </c>
      <c r="M104" s="101">
        <f t="shared" si="41"/>
        <v>0.9425861208187718</v>
      </c>
    </row>
    <row r="105" spans="1:13">
      <c r="A105" s="101" t="s">
        <v>20</v>
      </c>
      <c r="B105" s="101">
        <f t="shared" ref="B105:M105" si="42">B31*2/79.9</f>
        <v>1.7521902377972466E-3</v>
      </c>
      <c r="C105" s="101">
        <f t="shared" si="42"/>
        <v>3.5043804755944931E-3</v>
      </c>
      <c r="D105" s="101">
        <f t="shared" si="42"/>
        <v>3.0037546933667082E-3</v>
      </c>
      <c r="E105" s="101">
        <f t="shared" si="42"/>
        <v>2.5031289111389237E-3</v>
      </c>
      <c r="F105" s="101">
        <f t="shared" si="42"/>
        <v>2.5031289111389237E-3</v>
      </c>
      <c r="G105" s="101">
        <f t="shared" si="42"/>
        <v>1.7521902377972466E-3</v>
      </c>
      <c r="H105" s="101">
        <f t="shared" si="42"/>
        <v>3.7546933667083849E-3</v>
      </c>
      <c r="I105" s="101">
        <f t="shared" si="42"/>
        <v>1.7521902377972466E-3</v>
      </c>
      <c r="J105" s="101">
        <f t="shared" si="42"/>
        <v>5.5068836045056319E-3</v>
      </c>
      <c r="K105" s="101">
        <f t="shared" si="42"/>
        <v>2.2027534418022528E-2</v>
      </c>
      <c r="L105" s="101">
        <f t="shared" si="42"/>
        <v>0</v>
      </c>
      <c r="M105" s="101">
        <f t="shared" si="42"/>
        <v>2.252816020025031E-3</v>
      </c>
    </row>
    <row r="106" spans="1:13">
      <c r="A106" s="101" t="s">
        <v>177</v>
      </c>
      <c r="B106" s="101">
        <f t="shared" ref="B106:M106" si="43">B32*3/101.96</f>
        <v>0.57875637504903887</v>
      </c>
      <c r="C106" s="101">
        <f t="shared" si="43"/>
        <v>0.55080423695566894</v>
      </c>
      <c r="D106" s="101">
        <f t="shared" si="43"/>
        <v>0.62907022361710474</v>
      </c>
      <c r="E106" s="101">
        <f t="shared" si="43"/>
        <v>0.5302079246763437</v>
      </c>
      <c r="F106" s="101">
        <f t="shared" si="43"/>
        <v>0.522852098862299</v>
      </c>
      <c r="G106" s="101">
        <f t="shared" si="43"/>
        <v>0.570223617104747</v>
      </c>
      <c r="H106" s="101">
        <f t="shared" si="43"/>
        <v>0.57346018046292668</v>
      </c>
      <c r="I106" s="101">
        <f t="shared" si="43"/>
        <v>0.56610435464888198</v>
      </c>
      <c r="J106" s="101">
        <f t="shared" si="43"/>
        <v>0.66143585719890152</v>
      </c>
      <c r="K106" s="101">
        <f t="shared" si="43"/>
        <v>0.62347979599843084</v>
      </c>
      <c r="L106" s="101">
        <f t="shared" si="43"/>
        <v>0.53697528442526488</v>
      </c>
      <c r="M106" s="101">
        <f t="shared" si="43"/>
        <v>0.55992546096508444</v>
      </c>
    </row>
    <row r="107" spans="1:13">
      <c r="A107" s="101" t="s">
        <v>21</v>
      </c>
      <c r="B107" s="101">
        <f t="shared" ref="B107:M107" si="44">B33*3/152</f>
        <v>0</v>
      </c>
      <c r="C107" s="101">
        <f t="shared" si="44"/>
        <v>0</v>
      </c>
      <c r="D107" s="101">
        <f t="shared" si="44"/>
        <v>0</v>
      </c>
      <c r="E107" s="101">
        <f t="shared" si="44"/>
        <v>0</v>
      </c>
      <c r="F107" s="101">
        <f t="shared" si="44"/>
        <v>0</v>
      </c>
      <c r="G107" s="101">
        <f t="shared" si="44"/>
        <v>0</v>
      </c>
      <c r="H107" s="101">
        <f t="shared" si="44"/>
        <v>0</v>
      </c>
      <c r="I107" s="101">
        <f t="shared" si="44"/>
        <v>0</v>
      </c>
      <c r="J107" s="101">
        <f t="shared" si="44"/>
        <v>0</v>
      </c>
      <c r="K107" s="101">
        <f t="shared" si="44"/>
        <v>0</v>
      </c>
      <c r="L107" s="101">
        <f t="shared" si="44"/>
        <v>0</v>
      </c>
      <c r="M107" s="101">
        <f t="shared" si="44"/>
        <v>0</v>
      </c>
    </row>
    <row r="108" spans="1:13">
      <c r="A108" s="101" t="s">
        <v>51</v>
      </c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</row>
    <row r="109" spans="1:13">
      <c r="A109" s="101" t="s">
        <v>52</v>
      </c>
      <c r="B109" s="101">
        <f t="shared" ref="B109:M109" si="45">B10/71.85</f>
        <v>0.56409185803757833</v>
      </c>
      <c r="C109" s="101">
        <f t="shared" si="45"/>
        <v>0.50257480862908843</v>
      </c>
      <c r="D109" s="101">
        <f t="shared" si="45"/>
        <v>0.48531663187195545</v>
      </c>
      <c r="E109" s="101">
        <f t="shared" si="45"/>
        <v>0.32219902574808629</v>
      </c>
      <c r="F109" s="101">
        <f t="shared" si="45"/>
        <v>0.32066805845511481</v>
      </c>
      <c r="G109" s="101">
        <f t="shared" si="45"/>
        <v>0.53361169102296457</v>
      </c>
      <c r="H109" s="101">
        <f t="shared" si="45"/>
        <v>0.48670842032011136</v>
      </c>
      <c r="I109" s="101">
        <f t="shared" si="45"/>
        <v>0.52122477383437726</v>
      </c>
      <c r="J109" s="101">
        <f t="shared" si="45"/>
        <v>0.16854558107167711</v>
      </c>
      <c r="K109" s="101">
        <f t="shared" si="45"/>
        <v>0.34850382741823244</v>
      </c>
      <c r="L109" s="101">
        <f t="shared" si="45"/>
        <v>8.8517745302714002E-2</v>
      </c>
      <c r="M109" s="101">
        <f t="shared" si="45"/>
        <v>0.22157272094641617</v>
      </c>
    </row>
    <row r="110" spans="1:13">
      <c r="A110" s="101" t="s">
        <v>23</v>
      </c>
      <c r="B110" s="101">
        <f t="shared" ref="B110:M110" si="46">B36/70.94</f>
        <v>4.3135043698900484E-2</v>
      </c>
      <c r="C110" s="101">
        <f t="shared" si="46"/>
        <v>1.5506061460389063E-2</v>
      </c>
      <c r="D110" s="101">
        <f t="shared" si="46"/>
        <v>1.310967014378348E-2</v>
      </c>
      <c r="E110" s="101">
        <f t="shared" si="46"/>
        <v>1.6774739216239076E-2</v>
      </c>
      <c r="F110" s="101">
        <f t="shared" si="46"/>
        <v>1.6774739216239076E-2</v>
      </c>
      <c r="G110" s="101">
        <f t="shared" si="46"/>
        <v>2.3118127995489145E-2</v>
      </c>
      <c r="H110" s="101">
        <f t="shared" si="46"/>
        <v>1.973498731322244E-2</v>
      </c>
      <c r="I110" s="101">
        <f t="shared" si="46"/>
        <v>2.5937411897378068E-2</v>
      </c>
      <c r="J110" s="101">
        <f t="shared" si="46"/>
        <v>2.8192839018889202E-4</v>
      </c>
      <c r="K110" s="101">
        <f t="shared" si="46"/>
        <v>4.93374682830561E-3</v>
      </c>
      <c r="L110" s="101">
        <f t="shared" si="46"/>
        <v>0</v>
      </c>
      <c r="M110" s="101">
        <f t="shared" si="46"/>
        <v>1.268677755850014E-3</v>
      </c>
    </row>
    <row r="111" spans="1:13">
      <c r="A111" s="101" t="s">
        <v>24</v>
      </c>
      <c r="B111" s="101">
        <f t="shared" ref="B111:M111" si="47">B37/40.31</f>
        <v>5.2344331431406592E-2</v>
      </c>
      <c r="C111" s="101">
        <f t="shared" si="47"/>
        <v>0.16770032250062017</v>
      </c>
      <c r="D111" s="101">
        <f t="shared" si="47"/>
        <v>0.13123294467873975</v>
      </c>
      <c r="E111" s="101">
        <f t="shared" si="47"/>
        <v>0.39221036963532624</v>
      </c>
      <c r="F111" s="101">
        <f t="shared" si="47"/>
        <v>0.39469114363681468</v>
      </c>
      <c r="G111" s="101">
        <f t="shared" si="47"/>
        <v>0.10146365666087818</v>
      </c>
      <c r="H111" s="101">
        <f t="shared" si="47"/>
        <v>9.7742495658645484E-2</v>
      </c>
      <c r="I111" s="101">
        <f t="shared" si="47"/>
        <v>0.11089059786653435</v>
      </c>
      <c r="J111" s="101">
        <f t="shared" si="47"/>
        <v>0.60332423716199457</v>
      </c>
      <c r="K111" s="101">
        <f t="shared" si="47"/>
        <v>0.37906226742743732</v>
      </c>
      <c r="L111" s="101">
        <f t="shared" si="47"/>
        <v>0.81022078888613236</v>
      </c>
      <c r="M111" s="101">
        <f t="shared" si="47"/>
        <v>0.58843959315306371</v>
      </c>
    </row>
    <row r="112" spans="1:13">
      <c r="A112" s="101" t="s">
        <v>25</v>
      </c>
      <c r="B112" s="101">
        <f t="shared" ref="B112:M112" si="48">B38/74.708</f>
        <v>0</v>
      </c>
      <c r="C112" s="101">
        <f t="shared" si="48"/>
        <v>0</v>
      </c>
      <c r="D112" s="101">
        <f t="shared" si="48"/>
        <v>0</v>
      </c>
      <c r="E112" s="101">
        <f t="shared" si="48"/>
        <v>0</v>
      </c>
      <c r="F112" s="101">
        <f t="shared" si="48"/>
        <v>0</v>
      </c>
      <c r="G112" s="101">
        <f t="shared" si="48"/>
        <v>0</v>
      </c>
      <c r="H112" s="101">
        <f t="shared" si="48"/>
        <v>0</v>
      </c>
      <c r="I112" s="101">
        <f t="shared" si="48"/>
        <v>0</v>
      </c>
      <c r="J112" s="101">
        <f t="shared" si="48"/>
        <v>0</v>
      </c>
      <c r="K112" s="101">
        <f t="shared" si="48"/>
        <v>0</v>
      </c>
      <c r="L112" s="101">
        <f t="shared" si="48"/>
        <v>0</v>
      </c>
      <c r="M112" s="101">
        <f t="shared" si="48"/>
        <v>0</v>
      </c>
    </row>
    <row r="113" spans="1:13">
      <c r="A113" s="101" t="s">
        <v>162</v>
      </c>
      <c r="B113" s="101">
        <f t="shared" ref="B113:M113" si="49">B39/81.38</f>
        <v>1.3516834603096585E-3</v>
      </c>
      <c r="C113" s="101">
        <f t="shared" si="49"/>
        <v>1.7203244040304745E-3</v>
      </c>
      <c r="D113" s="101">
        <f t="shared" si="49"/>
        <v>1.3516834603096585E-3</v>
      </c>
      <c r="E113" s="101">
        <f t="shared" si="49"/>
        <v>1.8432047186040796E-3</v>
      </c>
      <c r="F113" s="101">
        <f t="shared" si="49"/>
        <v>1.4745637748832638E-3</v>
      </c>
      <c r="G113" s="101">
        <f t="shared" si="49"/>
        <v>2.5804866060457113E-3</v>
      </c>
      <c r="H113" s="101">
        <f t="shared" si="49"/>
        <v>2.4576062914721066E-3</v>
      </c>
      <c r="I113" s="101">
        <f t="shared" si="49"/>
        <v>1.7203244040304745E-3</v>
      </c>
      <c r="J113" s="101">
        <f t="shared" si="49"/>
        <v>0</v>
      </c>
      <c r="K113" s="101">
        <f t="shared" si="49"/>
        <v>0</v>
      </c>
      <c r="L113" s="101">
        <f t="shared" si="49"/>
        <v>0</v>
      </c>
      <c r="M113" s="101">
        <f t="shared" si="49"/>
        <v>0</v>
      </c>
    </row>
    <row r="114" spans="1:13">
      <c r="A114" s="101" t="s">
        <v>26</v>
      </c>
      <c r="B114" s="101">
        <f t="shared" ref="B114:M114" si="50">B40/56.08</f>
        <v>5.3495007132667619E-4</v>
      </c>
      <c r="C114" s="101">
        <f t="shared" si="50"/>
        <v>1.2482168330955779E-3</v>
      </c>
      <c r="D114" s="101">
        <f t="shared" si="50"/>
        <v>0</v>
      </c>
      <c r="E114" s="101">
        <f t="shared" si="50"/>
        <v>1.4265335235378032E-3</v>
      </c>
      <c r="F114" s="101">
        <f t="shared" si="50"/>
        <v>1.4265335235378032E-3</v>
      </c>
      <c r="G114" s="101">
        <f t="shared" si="50"/>
        <v>5.3495007132667619E-4</v>
      </c>
      <c r="H114" s="101">
        <f t="shared" si="50"/>
        <v>1.4265335235378032E-3</v>
      </c>
      <c r="I114" s="101">
        <f t="shared" si="50"/>
        <v>5.3495007132667619E-4</v>
      </c>
      <c r="J114" s="101">
        <f t="shared" si="50"/>
        <v>0</v>
      </c>
      <c r="K114" s="101">
        <f t="shared" si="50"/>
        <v>2.8530670470756064E-3</v>
      </c>
      <c r="L114" s="101">
        <f t="shared" si="50"/>
        <v>0</v>
      </c>
      <c r="M114" s="101">
        <f t="shared" si="50"/>
        <v>1.1055634807417974E-2</v>
      </c>
    </row>
    <row r="115" spans="1:13">
      <c r="A115" s="101" t="s">
        <v>27</v>
      </c>
      <c r="B115" s="101">
        <f t="shared" ref="B115:M115" si="51">B41/61.98</f>
        <v>3.2268473701193938E-4</v>
      </c>
      <c r="C115" s="101">
        <f t="shared" si="51"/>
        <v>3.2268473701193938E-4</v>
      </c>
      <c r="D115" s="101">
        <f t="shared" si="51"/>
        <v>6.4536947402387876E-4</v>
      </c>
      <c r="E115" s="101">
        <f t="shared" si="51"/>
        <v>0</v>
      </c>
      <c r="F115" s="101">
        <f t="shared" si="51"/>
        <v>6.4536947402387876E-4</v>
      </c>
      <c r="G115" s="101">
        <f t="shared" si="51"/>
        <v>3.2268473701193938E-4</v>
      </c>
      <c r="H115" s="101">
        <f t="shared" si="51"/>
        <v>6.4536947402387876E-4</v>
      </c>
      <c r="I115" s="101">
        <f t="shared" si="51"/>
        <v>3.2268473701193938E-4</v>
      </c>
      <c r="J115" s="101">
        <f t="shared" si="51"/>
        <v>2.7428202646014848E-3</v>
      </c>
      <c r="K115" s="101">
        <f t="shared" si="51"/>
        <v>0</v>
      </c>
      <c r="L115" s="101">
        <f t="shared" si="51"/>
        <v>4.8402710551790902E-4</v>
      </c>
      <c r="M115" s="101">
        <f t="shared" si="51"/>
        <v>1.6134236850596969E-4</v>
      </c>
    </row>
    <row r="116" spans="1:13">
      <c r="A116" s="101" t="s">
        <v>28</v>
      </c>
      <c r="B116" s="101">
        <f t="shared" ref="B116:M116" si="52">B42/94.22</f>
        <v>0</v>
      </c>
      <c r="C116" s="101">
        <f t="shared" si="52"/>
        <v>1.0613457864572279E-3</v>
      </c>
      <c r="D116" s="101">
        <f t="shared" si="52"/>
        <v>1.6981532583315645E-3</v>
      </c>
      <c r="E116" s="101">
        <f t="shared" si="52"/>
        <v>1.485884101040119E-3</v>
      </c>
      <c r="F116" s="101">
        <f t="shared" si="52"/>
        <v>1.3797495223943962E-3</v>
      </c>
      <c r="G116" s="101">
        <f t="shared" si="52"/>
        <v>3.1840373593716834E-4</v>
      </c>
      <c r="H116" s="101">
        <f t="shared" si="52"/>
        <v>1.0931861600509447E-2</v>
      </c>
      <c r="I116" s="101">
        <f t="shared" si="52"/>
        <v>5.3067289322861395E-4</v>
      </c>
      <c r="J116" s="101">
        <f t="shared" si="52"/>
        <v>6.3680747187433667E-4</v>
      </c>
      <c r="K116" s="101">
        <f t="shared" si="52"/>
        <v>0</v>
      </c>
      <c r="L116" s="101">
        <f t="shared" si="52"/>
        <v>0</v>
      </c>
      <c r="M116" s="101">
        <f t="shared" si="52"/>
        <v>0</v>
      </c>
    </row>
    <row r="117" spans="1:13">
      <c r="A117" s="101" t="s">
        <v>163</v>
      </c>
      <c r="B117" s="101">
        <f t="shared" ref="B117:M117" si="53">B43/153.36</f>
        <v>0</v>
      </c>
      <c r="C117" s="101">
        <f t="shared" si="53"/>
        <v>1.3041210224308815E-4</v>
      </c>
      <c r="D117" s="101">
        <f t="shared" si="53"/>
        <v>0</v>
      </c>
      <c r="E117" s="101">
        <f t="shared" si="53"/>
        <v>6.5206051121544076E-5</v>
      </c>
      <c r="F117" s="101">
        <f t="shared" si="53"/>
        <v>0</v>
      </c>
      <c r="G117" s="101">
        <f t="shared" si="53"/>
        <v>4.5644235785080855E-4</v>
      </c>
      <c r="H117" s="101">
        <f t="shared" si="53"/>
        <v>6.5206051121544076E-5</v>
      </c>
      <c r="I117" s="101">
        <f t="shared" si="53"/>
        <v>6.5206051121544076E-5</v>
      </c>
      <c r="J117" s="101">
        <f t="shared" si="53"/>
        <v>0</v>
      </c>
      <c r="K117" s="101">
        <f t="shared" si="53"/>
        <v>0</v>
      </c>
      <c r="L117" s="101">
        <f t="shared" si="53"/>
        <v>0</v>
      </c>
      <c r="M117" s="101">
        <f t="shared" si="53"/>
        <v>0</v>
      </c>
    </row>
    <row r="118" spans="1:13">
      <c r="A118" s="101" t="s">
        <v>164</v>
      </c>
      <c r="B118" s="101">
        <f t="shared" ref="B118:M118" si="54">B44/186.936</f>
        <v>0</v>
      </c>
      <c r="C118" s="101">
        <f t="shared" si="54"/>
        <v>0</v>
      </c>
      <c r="D118" s="101">
        <f t="shared" si="54"/>
        <v>0</v>
      </c>
      <c r="E118" s="101">
        <f t="shared" si="54"/>
        <v>0</v>
      </c>
      <c r="F118" s="101">
        <f t="shared" si="54"/>
        <v>5.3494244019343516E-5</v>
      </c>
      <c r="G118" s="101">
        <f t="shared" si="54"/>
        <v>5.3494244019343516E-5</v>
      </c>
      <c r="H118" s="101">
        <f t="shared" si="54"/>
        <v>2.1397697607737406E-4</v>
      </c>
      <c r="I118" s="101">
        <f t="shared" si="54"/>
        <v>5.3494244019343516E-5</v>
      </c>
      <c r="J118" s="101">
        <f t="shared" si="54"/>
        <v>0</v>
      </c>
      <c r="K118" s="101">
        <f t="shared" si="54"/>
        <v>0</v>
      </c>
      <c r="L118" s="101">
        <f t="shared" si="54"/>
        <v>0</v>
      </c>
      <c r="M118" s="101">
        <f t="shared" si="54"/>
        <v>0</v>
      </c>
    </row>
    <row r="119" spans="1:13">
      <c r="A119" s="101" t="s">
        <v>153</v>
      </c>
      <c r="B119" s="101">
        <f t="shared" ref="B119:M119" si="55">B45*0.5/19</f>
        <v>2.1052631578947368E-3</v>
      </c>
      <c r="C119" s="101">
        <f t="shared" si="55"/>
        <v>2.1052631578947368E-3</v>
      </c>
      <c r="D119" s="101">
        <f t="shared" si="55"/>
        <v>5.0000000000000001E-3</v>
      </c>
      <c r="E119" s="101">
        <f t="shared" si="55"/>
        <v>8.4210526315789472E-3</v>
      </c>
      <c r="F119" s="101">
        <f t="shared" si="55"/>
        <v>3.1578947368421052E-3</v>
      </c>
      <c r="G119" s="101">
        <f t="shared" si="55"/>
        <v>2.8947368421052633E-3</v>
      </c>
      <c r="H119" s="101">
        <f t="shared" si="55"/>
        <v>1.0526315789473684E-3</v>
      </c>
      <c r="I119" s="101">
        <f t="shared" si="55"/>
        <v>3.1578947368421052E-3</v>
      </c>
      <c r="J119" s="101">
        <f t="shared" si="55"/>
        <v>0</v>
      </c>
      <c r="K119" s="101">
        <f t="shared" si="55"/>
        <v>0</v>
      </c>
      <c r="L119" s="101">
        <f t="shared" si="55"/>
        <v>0</v>
      </c>
      <c r="M119" s="101">
        <f t="shared" si="55"/>
        <v>0</v>
      </c>
    </row>
    <row r="120" spans="1:13">
      <c r="A120" s="101" t="s">
        <v>154</v>
      </c>
      <c r="B120" s="101">
        <f t="shared" ref="B120:M120" si="56">B46*0.5/35.45</f>
        <v>1.4104372355430183E-4</v>
      </c>
      <c r="C120" s="101">
        <f t="shared" si="56"/>
        <v>1.4104372355430183E-4</v>
      </c>
      <c r="D120" s="101">
        <f t="shared" si="56"/>
        <v>1.4104372355430183E-4</v>
      </c>
      <c r="E120" s="101">
        <f t="shared" si="56"/>
        <v>1.4104372355430183E-4</v>
      </c>
      <c r="F120" s="101">
        <f t="shared" si="56"/>
        <v>1.4104372355430183E-4</v>
      </c>
      <c r="G120" s="101">
        <f t="shared" si="56"/>
        <v>1.4104372355430183E-4</v>
      </c>
      <c r="H120" s="101">
        <f t="shared" si="56"/>
        <v>1.4104372355430183E-4</v>
      </c>
      <c r="I120" s="101">
        <f t="shared" si="56"/>
        <v>1.4104372355430183E-4</v>
      </c>
      <c r="J120" s="101">
        <f t="shared" si="56"/>
        <v>0</v>
      </c>
      <c r="K120" s="101">
        <f t="shared" si="56"/>
        <v>0</v>
      </c>
      <c r="L120" s="101">
        <f t="shared" si="56"/>
        <v>0</v>
      </c>
      <c r="M120" s="101">
        <f t="shared" si="56"/>
        <v>0</v>
      </c>
    </row>
    <row r="121" spans="1:13">
      <c r="A121" s="101" t="s">
        <v>158</v>
      </c>
      <c r="B121" s="101">
        <f t="shared" ref="B121:M121" si="57">SUM(B104:B120)</f>
        <v>2.0173761624964812</v>
      </c>
      <c r="C121" s="101">
        <f t="shared" si="57"/>
        <v>2.0825654811950045</v>
      </c>
      <c r="D121" s="101">
        <f t="shared" si="57"/>
        <v>2.1029875145284254</v>
      </c>
      <c r="E121" s="101">
        <f t="shared" si="57"/>
        <v>2.2035553637270517</v>
      </c>
      <c r="F121" s="101">
        <f t="shared" si="57"/>
        <v>2.1937092392823927</v>
      </c>
      <c r="G121" s="101">
        <f t="shared" si="57"/>
        <v>2.0202972866976903</v>
      </c>
      <c r="H121" s="101">
        <f t="shared" si="57"/>
        <v>2.0883333421704471</v>
      </c>
      <c r="I121" s="101">
        <f t="shared" si="57"/>
        <v>1.997621154346936</v>
      </c>
      <c r="J121" s="101">
        <f t="shared" si="57"/>
        <v>2.3624275183922343</v>
      </c>
      <c r="K121" s="101">
        <f t="shared" si="57"/>
        <v>2.2335811577595708</v>
      </c>
      <c r="L121" s="101">
        <f t="shared" si="57"/>
        <v>2.4446851148159845</v>
      </c>
      <c r="M121" s="101">
        <f t="shared" si="57"/>
        <v>2.3272623668351349</v>
      </c>
    </row>
    <row r="122" spans="1:13">
      <c r="A122" s="101" t="s">
        <v>178</v>
      </c>
      <c r="B122" s="101">
        <f t="shared" ref="B122:M122" si="58">B121-((B119+B120))</f>
        <v>2.0151298556150321</v>
      </c>
      <c r="C122" s="101">
        <f t="shared" si="58"/>
        <v>2.0803191743135554</v>
      </c>
      <c r="D122" s="101">
        <f t="shared" si="58"/>
        <v>2.0978464708048712</v>
      </c>
      <c r="E122" s="101">
        <f t="shared" si="58"/>
        <v>2.1949932673719186</v>
      </c>
      <c r="F122" s="101">
        <f t="shared" si="58"/>
        <v>2.1904103008219962</v>
      </c>
      <c r="G122" s="101">
        <f t="shared" si="58"/>
        <v>2.0172615061320305</v>
      </c>
      <c r="H122" s="101">
        <f t="shared" si="58"/>
        <v>2.0871396668679454</v>
      </c>
      <c r="I122" s="101">
        <f t="shared" si="58"/>
        <v>1.9943222158865397</v>
      </c>
      <c r="J122" s="101">
        <f t="shared" si="58"/>
        <v>2.3624275183922343</v>
      </c>
      <c r="K122" s="101">
        <f t="shared" si="58"/>
        <v>2.2335811577595708</v>
      </c>
      <c r="L122" s="101">
        <f t="shared" si="58"/>
        <v>2.4446851148159845</v>
      </c>
      <c r="M122" s="101">
        <f t="shared" si="58"/>
        <v>2.3272623668351349</v>
      </c>
    </row>
    <row r="123" spans="1:13">
      <c r="A123" s="101" t="s">
        <v>179</v>
      </c>
      <c r="B123" s="101">
        <f t="shared" ref="B123:M123" si="59">B25/B122</f>
        <v>13.894886189085913</v>
      </c>
      <c r="C123" s="101">
        <f t="shared" si="59"/>
        <v>13.459473116301581</v>
      </c>
      <c r="D123" s="101">
        <f t="shared" si="59"/>
        <v>13.347020570698565</v>
      </c>
      <c r="E123" s="101">
        <f t="shared" si="59"/>
        <v>12.75630336375683</v>
      </c>
      <c r="F123" s="101">
        <f t="shared" si="59"/>
        <v>12.782993208848785</v>
      </c>
      <c r="G123" s="101">
        <f t="shared" si="59"/>
        <v>13.88020339201743</v>
      </c>
      <c r="H123" s="101">
        <f t="shared" si="59"/>
        <v>13.41548936301807</v>
      </c>
      <c r="I123" s="101">
        <f t="shared" si="59"/>
        <v>14.039857640332762</v>
      </c>
      <c r="J123" s="101">
        <f t="shared" si="59"/>
        <v>11.852215478363368</v>
      </c>
      <c r="K123" s="101">
        <f t="shared" si="59"/>
        <v>12.535922369655843</v>
      </c>
      <c r="L123" s="101">
        <f t="shared" si="59"/>
        <v>11.45341779614329</v>
      </c>
      <c r="M123" s="101">
        <f t="shared" si="59"/>
        <v>12.031303560361977</v>
      </c>
    </row>
    <row r="125" spans="1:13">
      <c r="A125" s="101" t="s">
        <v>180</v>
      </c>
    </row>
    <row r="126" spans="1:13">
      <c r="A126" s="101" t="s">
        <v>18</v>
      </c>
      <c r="B126" s="101">
        <f t="shared" ref="B126:M126" si="60">B30/60.09</f>
        <v>0.38642036944583119</v>
      </c>
      <c r="C126" s="101">
        <f t="shared" si="60"/>
        <v>0.41787319021467795</v>
      </c>
      <c r="D126" s="101">
        <f t="shared" si="60"/>
        <v>0.4162090198036279</v>
      </c>
      <c r="E126" s="101">
        <f t="shared" si="60"/>
        <v>0.46313862539524042</v>
      </c>
      <c r="F126" s="101">
        <f t="shared" si="60"/>
        <v>0.4639707106007655</v>
      </c>
      <c r="G126" s="101">
        <f t="shared" si="60"/>
        <v>0.3914128806789815</v>
      </c>
      <c r="H126" s="101">
        <f t="shared" si="60"/>
        <v>0.44499916791479444</v>
      </c>
      <c r="I126" s="101">
        <f t="shared" si="60"/>
        <v>0.38259277750041598</v>
      </c>
      <c r="J126" s="101">
        <f t="shared" si="60"/>
        <v>0.45997670161424531</v>
      </c>
      <c r="K126" s="101">
        <f t="shared" si="60"/>
        <v>0.42636045931103345</v>
      </c>
      <c r="L126" s="101">
        <f t="shared" si="60"/>
        <v>0.50424363454817767</v>
      </c>
      <c r="M126" s="101">
        <f t="shared" si="60"/>
        <v>0.4712930604093859</v>
      </c>
    </row>
    <row r="127" spans="1:13">
      <c r="A127" s="101" t="s">
        <v>20</v>
      </c>
      <c r="B127" s="101">
        <f t="shared" ref="B127:M127" si="61">B31/79.9</f>
        <v>8.7609511889862328E-4</v>
      </c>
      <c r="C127" s="101">
        <f t="shared" si="61"/>
        <v>1.7521902377972466E-3</v>
      </c>
      <c r="D127" s="101">
        <f t="shared" si="61"/>
        <v>1.5018773466833541E-3</v>
      </c>
      <c r="E127" s="101">
        <f t="shared" si="61"/>
        <v>1.2515644555694619E-3</v>
      </c>
      <c r="F127" s="101">
        <f t="shared" si="61"/>
        <v>1.2515644555694619E-3</v>
      </c>
      <c r="G127" s="101">
        <f t="shared" si="61"/>
        <v>8.7609511889862328E-4</v>
      </c>
      <c r="H127" s="101">
        <f t="shared" si="61"/>
        <v>1.8773466833541925E-3</v>
      </c>
      <c r="I127" s="101">
        <f t="shared" si="61"/>
        <v>8.7609511889862328E-4</v>
      </c>
      <c r="J127" s="101">
        <f t="shared" si="61"/>
        <v>2.753441802252816E-3</v>
      </c>
      <c r="K127" s="101">
        <f t="shared" si="61"/>
        <v>1.1013767209011264E-2</v>
      </c>
      <c r="L127" s="101">
        <f t="shared" si="61"/>
        <v>0</v>
      </c>
      <c r="M127" s="101">
        <f t="shared" si="61"/>
        <v>1.1264080100125155E-3</v>
      </c>
    </row>
    <row r="128" spans="1:13">
      <c r="A128" s="101" t="s">
        <v>177</v>
      </c>
      <c r="B128" s="101">
        <f t="shared" ref="B128:M128" si="62">B32*2/101.96</f>
        <v>0.38583758336602597</v>
      </c>
      <c r="C128" s="101">
        <f t="shared" si="62"/>
        <v>0.36720282463711257</v>
      </c>
      <c r="D128" s="101">
        <f t="shared" si="62"/>
        <v>0.41938014907806986</v>
      </c>
      <c r="E128" s="101">
        <f t="shared" si="62"/>
        <v>0.35347194978422913</v>
      </c>
      <c r="F128" s="101">
        <f t="shared" si="62"/>
        <v>0.34856806590819933</v>
      </c>
      <c r="G128" s="101">
        <f t="shared" si="62"/>
        <v>0.38014907806983134</v>
      </c>
      <c r="H128" s="101">
        <f t="shared" si="62"/>
        <v>0.38230678697528442</v>
      </c>
      <c r="I128" s="101">
        <f t="shared" si="62"/>
        <v>0.37740290309925462</v>
      </c>
      <c r="J128" s="101">
        <f t="shared" si="62"/>
        <v>0.44095723813260107</v>
      </c>
      <c r="K128" s="101">
        <f t="shared" si="62"/>
        <v>0.41565319733228723</v>
      </c>
      <c r="L128" s="101">
        <f t="shared" si="62"/>
        <v>0.35798352295017655</v>
      </c>
      <c r="M128" s="101">
        <f t="shared" si="62"/>
        <v>0.37328364064338959</v>
      </c>
    </row>
    <row r="129" spans="1:13">
      <c r="A129" s="101" t="s">
        <v>21</v>
      </c>
      <c r="B129" s="101">
        <f t="shared" ref="B129:M129" si="63">B33*2/152</f>
        <v>0</v>
      </c>
      <c r="C129" s="101">
        <f t="shared" si="63"/>
        <v>0</v>
      </c>
      <c r="D129" s="101">
        <f t="shared" si="63"/>
        <v>0</v>
      </c>
      <c r="E129" s="101">
        <f t="shared" si="63"/>
        <v>0</v>
      </c>
      <c r="F129" s="101">
        <f t="shared" si="63"/>
        <v>0</v>
      </c>
      <c r="G129" s="101">
        <f t="shared" si="63"/>
        <v>0</v>
      </c>
      <c r="H129" s="101">
        <f t="shared" si="63"/>
        <v>0</v>
      </c>
      <c r="I129" s="101">
        <f t="shared" si="63"/>
        <v>0</v>
      </c>
      <c r="J129" s="101">
        <f t="shared" si="63"/>
        <v>0</v>
      </c>
      <c r="K129" s="101">
        <f t="shared" si="63"/>
        <v>0</v>
      </c>
      <c r="L129" s="101">
        <f t="shared" si="63"/>
        <v>0</v>
      </c>
      <c r="M129" s="101">
        <f t="shared" si="63"/>
        <v>0</v>
      </c>
    </row>
    <row r="130" spans="1:13">
      <c r="A130" s="101" t="s">
        <v>51</v>
      </c>
      <c r="B130" s="101">
        <v>0</v>
      </c>
      <c r="C130" s="101">
        <v>0</v>
      </c>
      <c r="D130" s="101">
        <v>0</v>
      </c>
      <c r="E130" s="101">
        <v>0</v>
      </c>
      <c r="F130" s="101">
        <v>0</v>
      </c>
      <c r="G130" s="101">
        <v>0</v>
      </c>
      <c r="H130" s="101">
        <v>0</v>
      </c>
      <c r="I130" s="101">
        <v>0</v>
      </c>
      <c r="J130" s="101">
        <v>0</v>
      </c>
      <c r="K130" s="101">
        <v>0</v>
      </c>
      <c r="L130" s="101">
        <v>0</v>
      </c>
      <c r="M130" s="101">
        <v>0</v>
      </c>
    </row>
    <row r="131" spans="1:13">
      <c r="A131" s="101" t="s">
        <v>52</v>
      </c>
      <c r="B131" s="101">
        <f t="shared" ref="B131:M131" si="64">B10/71.85</f>
        <v>0.56409185803757833</v>
      </c>
      <c r="C131" s="101">
        <f t="shared" si="64"/>
        <v>0.50257480862908843</v>
      </c>
      <c r="D131" s="101">
        <f t="shared" si="64"/>
        <v>0.48531663187195545</v>
      </c>
      <c r="E131" s="101">
        <f t="shared" si="64"/>
        <v>0.32219902574808629</v>
      </c>
      <c r="F131" s="101">
        <f t="shared" si="64"/>
        <v>0.32066805845511481</v>
      </c>
      <c r="G131" s="101">
        <f t="shared" si="64"/>
        <v>0.53361169102296457</v>
      </c>
      <c r="H131" s="101">
        <f t="shared" si="64"/>
        <v>0.48670842032011136</v>
      </c>
      <c r="I131" s="101">
        <f t="shared" si="64"/>
        <v>0.52122477383437726</v>
      </c>
      <c r="J131" s="101">
        <f t="shared" si="64"/>
        <v>0.16854558107167711</v>
      </c>
      <c r="K131" s="101">
        <f t="shared" si="64"/>
        <v>0.34850382741823244</v>
      </c>
      <c r="L131" s="101">
        <f t="shared" si="64"/>
        <v>8.8517745302714002E-2</v>
      </c>
      <c r="M131" s="101">
        <f t="shared" si="64"/>
        <v>0.22157272094641617</v>
      </c>
    </row>
    <row r="132" spans="1:13">
      <c r="A132" s="101" t="s">
        <v>23</v>
      </c>
      <c r="B132" s="101">
        <f t="shared" ref="B132:M132" si="65">B36/70.94</f>
        <v>4.3135043698900484E-2</v>
      </c>
      <c r="C132" s="101">
        <f t="shared" si="65"/>
        <v>1.5506061460389063E-2</v>
      </c>
      <c r="D132" s="101">
        <f t="shared" si="65"/>
        <v>1.310967014378348E-2</v>
      </c>
      <c r="E132" s="101">
        <f t="shared" si="65"/>
        <v>1.6774739216239076E-2</v>
      </c>
      <c r="F132" s="101">
        <f t="shared" si="65"/>
        <v>1.6774739216239076E-2</v>
      </c>
      <c r="G132" s="101">
        <f t="shared" si="65"/>
        <v>2.3118127995489145E-2</v>
      </c>
      <c r="H132" s="101">
        <f t="shared" si="65"/>
        <v>1.973498731322244E-2</v>
      </c>
      <c r="I132" s="101">
        <f t="shared" si="65"/>
        <v>2.5937411897378068E-2</v>
      </c>
      <c r="J132" s="101">
        <f t="shared" si="65"/>
        <v>2.8192839018889202E-4</v>
      </c>
      <c r="K132" s="101">
        <f t="shared" si="65"/>
        <v>4.93374682830561E-3</v>
      </c>
      <c r="L132" s="101">
        <f t="shared" si="65"/>
        <v>0</v>
      </c>
      <c r="M132" s="101">
        <f t="shared" si="65"/>
        <v>1.268677755850014E-3</v>
      </c>
    </row>
    <row r="133" spans="1:13">
      <c r="A133" s="101" t="s">
        <v>24</v>
      </c>
      <c r="B133" s="101">
        <f t="shared" ref="B133:M133" si="66">B37/40.31</f>
        <v>5.2344331431406592E-2</v>
      </c>
      <c r="C133" s="101">
        <f t="shared" si="66"/>
        <v>0.16770032250062017</v>
      </c>
      <c r="D133" s="101">
        <f t="shared" si="66"/>
        <v>0.13123294467873975</v>
      </c>
      <c r="E133" s="101">
        <f t="shared" si="66"/>
        <v>0.39221036963532624</v>
      </c>
      <c r="F133" s="101">
        <f t="shared" si="66"/>
        <v>0.39469114363681468</v>
      </c>
      <c r="G133" s="101">
        <f t="shared" si="66"/>
        <v>0.10146365666087818</v>
      </c>
      <c r="H133" s="101">
        <f t="shared" si="66"/>
        <v>9.7742495658645484E-2</v>
      </c>
      <c r="I133" s="101">
        <f t="shared" si="66"/>
        <v>0.11089059786653435</v>
      </c>
      <c r="J133" s="101">
        <f t="shared" si="66"/>
        <v>0.60332423716199457</v>
      </c>
      <c r="K133" s="101">
        <f t="shared" si="66"/>
        <v>0.37906226742743732</v>
      </c>
      <c r="L133" s="101">
        <f t="shared" si="66"/>
        <v>0.81022078888613236</v>
      </c>
      <c r="M133" s="101">
        <f t="shared" si="66"/>
        <v>0.58843959315306371</v>
      </c>
    </row>
    <row r="134" spans="1:13">
      <c r="A134" s="101" t="s">
        <v>25</v>
      </c>
      <c r="B134" s="101">
        <f t="shared" ref="B134:M134" si="67">B38/74.708</f>
        <v>0</v>
      </c>
      <c r="C134" s="101">
        <f t="shared" si="67"/>
        <v>0</v>
      </c>
      <c r="D134" s="101">
        <f t="shared" si="67"/>
        <v>0</v>
      </c>
      <c r="E134" s="101">
        <f t="shared" si="67"/>
        <v>0</v>
      </c>
      <c r="F134" s="101">
        <f t="shared" si="67"/>
        <v>0</v>
      </c>
      <c r="G134" s="101">
        <f t="shared" si="67"/>
        <v>0</v>
      </c>
      <c r="H134" s="101">
        <f t="shared" si="67"/>
        <v>0</v>
      </c>
      <c r="I134" s="101">
        <f t="shared" si="67"/>
        <v>0</v>
      </c>
      <c r="J134" s="101">
        <f t="shared" si="67"/>
        <v>0</v>
      </c>
      <c r="K134" s="101">
        <f t="shared" si="67"/>
        <v>0</v>
      </c>
      <c r="L134" s="101">
        <f t="shared" si="67"/>
        <v>0</v>
      </c>
      <c r="M134" s="101">
        <f t="shared" si="67"/>
        <v>0</v>
      </c>
    </row>
    <row r="135" spans="1:13">
      <c r="A135" s="101" t="s">
        <v>162</v>
      </c>
      <c r="B135" s="101">
        <f t="shared" ref="B135:M135" si="68">B39/81.38</f>
        <v>1.3516834603096585E-3</v>
      </c>
      <c r="C135" s="101">
        <f t="shared" si="68"/>
        <v>1.7203244040304745E-3</v>
      </c>
      <c r="D135" s="101">
        <f t="shared" si="68"/>
        <v>1.3516834603096585E-3</v>
      </c>
      <c r="E135" s="101">
        <f t="shared" si="68"/>
        <v>1.8432047186040796E-3</v>
      </c>
      <c r="F135" s="101">
        <f t="shared" si="68"/>
        <v>1.4745637748832638E-3</v>
      </c>
      <c r="G135" s="101">
        <f t="shared" si="68"/>
        <v>2.5804866060457113E-3</v>
      </c>
      <c r="H135" s="101">
        <f t="shared" si="68"/>
        <v>2.4576062914721066E-3</v>
      </c>
      <c r="I135" s="101">
        <f t="shared" si="68"/>
        <v>1.7203244040304745E-3</v>
      </c>
      <c r="J135" s="101">
        <f t="shared" si="68"/>
        <v>0</v>
      </c>
      <c r="K135" s="101">
        <f t="shared" si="68"/>
        <v>0</v>
      </c>
      <c r="L135" s="101">
        <f t="shared" si="68"/>
        <v>0</v>
      </c>
      <c r="M135" s="101">
        <f t="shared" si="68"/>
        <v>0</v>
      </c>
    </row>
    <row r="136" spans="1:13">
      <c r="A136" s="101" t="s">
        <v>26</v>
      </c>
      <c r="B136" s="101">
        <f t="shared" ref="B136:M136" si="69">B40/56.08</f>
        <v>5.3495007132667619E-4</v>
      </c>
      <c r="C136" s="101">
        <f t="shared" si="69"/>
        <v>1.2482168330955779E-3</v>
      </c>
      <c r="D136" s="101">
        <f t="shared" si="69"/>
        <v>0</v>
      </c>
      <c r="E136" s="101">
        <f t="shared" si="69"/>
        <v>1.4265335235378032E-3</v>
      </c>
      <c r="F136" s="101">
        <f t="shared" si="69"/>
        <v>1.4265335235378032E-3</v>
      </c>
      <c r="G136" s="101">
        <f t="shared" si="69"/>
        <v>5.3495007132667619E-4</v>
      </c>
      <c r="H136" s="101">
        <f t="shared" si="69"/>
        <v>1.4265335235378032E-3</v>
      </c>
      <c r="I136" s="101">
        <f t="shared" si="69"/>
        <v>5.3495007132667619E-4</v>
      </c>
      <c r="J136" s="101">
        <f t="shared" si="69"/>
        <v>0</v>
      </c>
      <c r="K136" s="101">
        <f t="shared" si="69"/>
        <v>2.8530670470756064E-3</v>
      </c>
      <c r="L136" s="101">
        <f t="shared" si="69"/>
        <v>0</v>
      </c>
      <c r="M136" s="101">
        <f t="shared" si="69"/>
        <v>1.1055634807417974E-2</v>
      </c>
    </row>
    <row r="137" spans="1:13">
      <c r="A137" s="101" t="s">
        <v>27</v>
      </c>
      <c r="B137" s="101">
        <f t="shared" ref="B137:M137" si="70">B41*2/61.98</f>
        <v>6.4536947402387876E-4</v>
      </c>
      <c r="C137" s="101">
        <f t="shared" si="70"/>
        <v>6.4536947402387876E-4</v>
      </c>
      <c r="D137" s="101">
        <f t="shared" si="70"/>
        <v>1.2907389480477575E-3</v>
      </c>
      <c r="E137" s="101">
        <f t="shared" si="70"/>
        <v>0</v>
      </c>
      <c r="F137" s="101">
        <f t="shared" si="70"/>
        <v>1.2907389480477575E-3</v>
      </c>
      <c r="G137" s="101">
        <f t="shared" si="70"/>
        <v>6.4536947402387876E-4</v>
      </c>
      <c r="H137" s="101">
        <f t="shared" si="70"/>
        <v>1.2907389480477575E-3</v>
      </c>
      <c r="I137" s="101">
        <f t="shared" si="70"/>
        <v>6.4536947402387876E-4</v>
      </c>
      <c r="J137" s="101">
        <f t="shared" si="70"/>
        <v>5.4856405292029696E-3</v>
      </c>
      <c r="K137" s="101">
        <f t="shared" si="70"/>
        <v>0</v>
      </c>
      <c r="L137" s="101">
        <f t="shared" si="70"/>
        <v>9.6805421103581804E-4</v>
      </c>
      <c r="M137" s="101">
        <f t="shared" si="70"/>
        <v>3.2268473701193938E-4</v>
      </c>
    </row>
    <row r="138" spans="1:13">
      <c r="A138" s="101" t="s">
        <v>28</v>
      </c>
      <c r="B138" s="101">
        <f t="shared" ref="B138:M138" si="71">B42*2/94.22</f>
        <v>0</v>
      </c>
      <c r="C138" s="101">
        <f t="shared" si="71"/>
        <v>2.1226915729144558E-3</v>
      </c>
      <c r="D138" s="101">
        <f t="shared" si="71"/>
        <v>3.3963065166631289E-3</v>
      </c>
      <c r="E138" s="101">
        <f t="shared" si="71"/>
        <v>2.971768202080238E-3</v>
      </c>
      <c r="F138" s="101">
        <f t="shared" si="71"/>
        <v>2.7594990447887924E-3</v>
      </c>
      <c r="G138" s="101">
        <f t="shared" si="71"/>
        <v>6.3680747187433667E-4</v>
      </c>
      <c r="H138" s="101">
        <f t="shared" si="71"/>
        <v>2.1863723201018894E-2</v>
      </c>
      <c r="I138" s="101">
        <f t="shared" si="71"/>
        <v>1.0613457864572279E-3</v>
      </c>
      <c r="J138" s="101">
        <f t="shared" si="71"/>
        <v>1.2736149437486733E-3</v>
      </c>
      <c r="K138" s="101">
        <f t="shared" si="71"/>
        <v>0</v>
      </c>
      <c r="L138" s="101">
        <f t="shared" si="71"/>
        <v>0</v>
      </c>
      <c r="M138" s="101">
        <f t="shared" si="71"/>
        <v>0</v>
      </c>
    </row>
    <row r="139" spans="1:13">
      <c r="A139" s="101" t="s">
        <v>163</v>
      </c>
      <c r="B139" s="101">
        <f t="shared" ref="B139:M139" si="72">B43/153.36</f>
        <v>0</v>
      </c>
      <c r="C139" s="101">
        <f t="shared" si="72"/>
        <v>1.3041210224308815E-4</v>
      </c>
      <c r="D139" s="101">
        <f t="shared" si="72"/>
        <v>0</v>
      </c>
      <c r="E139" s="101">
        <f t="shared" si="72"/>
        <v>6.5206051121544076E-5</v>
      </c>
      <c r="F139" s="101">
        <f t="shared" si="72"/>
        <v>0</v>
      </c>
      <c r="G139" s="101">
        <f t="shared" si="72"/>
        <v>4.5644235785080855E-4</v>
      </c>
      <c r="H139" s="101">
        <f t="shared" si="72"/>
        <v>6.5206051121544076E-5</v>
      </c>
      <c r="I139" s="101">
        <f t="shared" si="72"/>
        <v>6.5206051121544076E-5</v>
      </c>
      <c r="J139" s="101">
        <f t="shared" si="72"/>
        <v>0</v>
      </c>
      <c r="K139" s="101">
        <f t="shared" si="72"/>
        <v>0</v>
      </c>
      <c r="L139" s="101">
        <f t="shared" si="72"/>
        <v>0</v>
      </c>
      <c r="M139" s="101">
        <f t="shared" si="72"/>
        <v>0</v>
      </c>
    </row>
    <row r="140" spans="1:13">
      <c r="A140" s="101" t="s">
        <v>164</v>
      </c>
      <c r="B140" s="101">
        <f t="shared" ref="B140:M140" si="73">B44*2/186.936</f>
        <v>0</v>
      </c>
      <c r="C140" s="101">
        <f t="shared" si="73"/>
        <v>0</v>
      </c>
      <c r="D140" s="101">
        <f t="shared" si="73"/>
        <v>0</v>
      </c>
      <c r="E140" s="101">
        <f t="shared" si="73"/>
        <v>0</v>
      </c>
      <c r="F140" s="101">
        <f t="shared" si="73"/>
        <v>1.0698848803868703E-4</v>
      </c>
      <c r="G140" s="101">
        <f t="shared" si="73"/>
        <v>1.0698848803868703E-4</v>
      </c>
      <c r="H140" s="101">
        <f t="shared" si="73"/>
        <v>4.2795395215474813E-4</v>
      </c>
      <c r="I140" s="101">
        <f t="shared" si="73"/>
        <v>1.0698848803868703E-4</v>
      </c>
      <c r="J140" s="101">
        <f t="shared" si="73"/>
        <v>0</v>
      </c>
      <c r="K140" s="101">
        <f t="shared" si="73"/>
        <v>0</v>
      </c>
      <c r="L140" s="101">
        <f t="shared" si="73"/>
        <v>0</v>
      </c>
      <c r="M140" s="101">
        <f t="shared" si="73"/>
        <v>0</v>
      </c>
    </row>
    <row r="141" spans="1:13">
      <c r="A141" s="101" t="s">
        <v>153</v>
      </c>
      <c r="B141" s="101">
        <f t="shared" ref="B141:M141" si="74">B45/19</f>
        <v>4.2105263157894736E-3</v>
      </c>
      <c r="C141" s="101">
        <f t="shared" si="74"/>
        <v>4.2105263157894736E-3</v>
      </c>
      <c r="D141" s="101">
        <f t="shared" si="74"/>
        <v>0.01</v>
      </c>
      <c r="E141" s="101">
        <f t="shared" si="74"/>
        <v>1.6842105263157894E-2</v>
      </c>
      <c r="F141" s="101">
        <f t="shared" si="74"/>
        <v>6.3157894736842104E-3</v>
      </c>
      <c r="G141" s="101">
        <f t="shared" si="74"/>
        <v>5.7894736842105266E-3</v>
      </c>
      <c r="H141" s="101">
        <f t="shared" si="74"/>
        <v>2.1052631578947368E-3</v>
      </c>
      <c r="I141" s="101">
        <f t="shared" si="74"/>
        <v>6.3157894736842104E-3</v>
      </c>
      <c r="J141" s="101">
        <f t="shared" si="74"/>
        <v>0</v>
      </c>
      <c r="K141" s="101">
        <f t="shared" si="74"/>
        <v>0</v>
      </c>
      <c r="L141" s="101">
        <f t="shared" si="74"/>
        <v>0</v>
      </c>
      <c r="M141" s="101">
        <f t="shared" si="74"/>
        <v>0</v>
      </c>
    </row>
    <row r="142" spans="1:13">
      <c r="A142" s="101" t="s">
        <v>154</v>
      </c>
      <c r="B142" s="101">
        <f t="shared" ref="B142:M142" si="75">B46/35.45</f>
        <v>2.8208744710860365E-4</v>
      </c>
      <c r="C142" s="101">
        <f t="shared" si="75"/>
        <v>2.8208744710860365E-4</v>
      </c>
      <c r="D142" s="101">
        <f t="shared" si="75"/>
        <v>2.8208744710860365E-4</v>
      </c>
      <c r="E142" s="101">
        <f t="shared" si="75"/>
        <v>2.8208744710860365E-4</v>
      </c>
      <c r="F142" s="101">
        <f t="shared" si="75"/>
        <v>2.8208744710860365E-4</v>
      </c>
      <c r="G142" s="101">
        <f t="shared" si="75"/>
        <v>2.8208744710860365E-4</v>
      </c>
      <c r="H142" s="101">
        <f t="shared" si="75"/>
        <v>2.8208744710860365E-4</v>
      </c>
      <c r="I142" s="101">
        <f t="shared" si="75"/>
        <v>2.8208744710860365E-4</v>
      </c>
      <c r="J142" s="101">
        <f t="shared" si="75"/>
        <v>0</v>
      </c>
      <c r="K142" s="101">
        <f t="shared" si="75"/>
        <v>0</v>
      </c>
      <c r="L142" s="101">
        <f t="shared" si="75"/>
        <v>0</v>
      </c>
      <c r="M142" s="101">
        <f t="shared" si="75"/>
        <v>0</v>
      </c>
    </row>
    <row r="143" spans="1:13">
      <c r="A143" s="101" t="s">
        <v>158</v>
      </c>
      <c r="B143" s="101">
        <f t="shared" ref="B143:M143" si="76">SUM(B126:B142)</f>
        <v>1.4397298978671993</v>
      </c>
      <c r="C143" s="101">
        <f t="shared" si="76"/>
        <v>1.482969025828891</v>
      </c>
      <c r="D143" s="101">
        <f t="shared" si="76"/>
        <v>1.4830711092949886</v>
      </c>
      <c r="E143" s="101">
        <f t="shared" si="76"/>
        <v>1.5724771794403007</v>
      </c>
      <c r="F143" s="101">
        <f t="shared" si="76"/>
        <v>1.5595804829727917</v>
      </c>
      <c r="G143" s="101">
        <f t="shared" si="76"/>
        <v>1.4416641351475226</v>
      </c>
      <c r="H143" s="101">
        <f t="shared" si="76"/>
        <v>1.4632883174377682</v>
      </c>
      <c r="I143" s="101">
        <f t="shared" si="76"/>
        <v>1.4296566205126502</v>
      </c>
      <c r="J143" s="101">
        <f t="shared" si="76"/>
        <v>1.6825983836459113</v>
      </c>
      <c r="K143" s="101">
        <f t="shared" si="76"/>
        <v>1.588380332573383</v>
      </c>
      <c r="L143" s="101">
        <f t="shared" si="76"/>
        <v>1.7619337458982363</v>
      </c>
      <c r="M143" s="101">
        <f t="shared" si="76"/>
        <v>1.6683624204625478</v>
      </c>
    </row>
    <row r="145" spans="1:13">
      <c r="A145" s="101" t="s">
        <v>181</v>
      </c>
    </row>
    <row r="146" spans="1:13">
      <c r="A146" s="101" t="s">
        <v>18</v>
      </c>
      <c r="B146" s="101">
        <f t="shared" ref="B146:M161" si="77">B$25*B126/B$121</f>
        <v>5.3632884861165033</v>
      </c>
      <c r="C146" s="101">
        <f t="shared" si="77"/>
        <v>5.618286402834789</v>
      </c>
      <c r="D146" s="101">
        <f t="shared" si="77"/>
        <v>5.5415700159850187</v>
      </c>
      <c r="E146" s="101">
        <f t="shared" si="77"/>
        <v>5.8849810286287081</v>
      </c>
      <c r="F146" s="101">
        <f t="shared" si="77"/>
        <v>5.9220153993931826</v>
      </c>
      <c r="G146" s="101">
        <f t="shared" si="77"/>
        <v>5.4247267128322534</v>
      </c>
      <c r="H146" s="101">
        <f t="shared" si="77"/>
        <v>5.9664692652296303</v>
      </c>
      <c r="I146" s="101">
        <f t="shared" si="77"/>
        <v>5.3626773758880315</v>
      </c>
      <c r="J146" s="101">
        <f t="shared" si="77"/>
        <v>5.451742982558887</v>
      </c>
      <c r="K146" s="101">
        <f t="shared" si="77"/>
        <v>5.3448216194139242</v>
      </c>
      <c r="L146" s="101">
        <f t="shared" si="77"/>
        <v>5.7753130175260718</v>
      </c>
      <c r="M146" s="101">
        <f t="shared" si="77"/>
        <v>5.6702698756773362</v>
      </c>
    </row>
    <row r="147" spans="1:13">
      <c r="A147" s="101" t="s">
        <v>20</v>
      </c>
      <c r="B147" s="101">
        <f t="shared" si="77"/>
        <v>1.215968731325001E-2</v>
      </c>
      <c r="C147" s="101">
        <f t="shared" si="77"/>
        <v>2.3558119589195747E-2</v>
      </c>
      <c r="D147" s="101">
        <f t="shared" si="77"/>
        <v>1.9996583630009709E-2</v>
      </c>
      <c r="E147" s="101">
        <f t="shared" si="77"/>
        <v>1.5903301243438014E-2</v>
      </c>
      <c r="F147" s="101">
        <f t="shared" si="77"/>
        <v>1.5974680750037995E-2</v>
      </c>
      <c r="G147" s="101">
        <f t="shared" si="77"/>
        <v>1.2142105763681169E-2</v>
      </c>
      <c r="H147" s="101">
        <f t="shared" si="77"/>
        <v>2.5171128608847852E-2</v>
      </c>
      <c r="I147" s="101">
        <f t="shared" si="77"/>
        <v>1.227993770279282E-2</v>
      </c>
      <c r="J147" s="101">
        <f t="shared" si="77"/>
        <v>3.2634385547433552E-2</v>
      </c>
      <c r="K147" s="101">
        <f t="shared" si="77"/>
        <v>0.1380677307296263</v>
      </c>
      <c r="L147" s="101">
        <f t="shared" si="77"/>
        <v>0</v>
      </c>
      <c r="M147" s="101">
        <f t="shared" si="77"/>
        <v>1.3552156701283827E-2</v>
      </c>
    </row>
    <row r="148" spans="1:13">
      <c r="A148" s="101" t="s">
        <v>177</v>
      </c>
      <c r="B148" s="101">
        <f t="shared" si="77"/>
        <v>5.3551997565389939</v>
      </c>
      <c r="C148" s="101">
        <f t="shared" si="77"/>
        <v>4.9370255978406901</v>
      </c>
      <c r="D148" s="101">
        <f t="shared" si="77"/>
        <v>5.5837916740172044</v>
      </c>
      <c r="E148" s="101">
        <f t="shared" si="77"/>
        <v>4.4914753479206695</v>
      </c>
      <c r="F148" s="101">
        <f t="shared" si="77"/>
        <v>4.4490425944608081</v>
      </c>
      <c r="G148" s="101">
        <f t="shared" si="77"/>
        <v>5.2686177702856218</v>
      </c>
      <c r="H148" s="101">
        <f t="shared" si="77"/>
        <v>5.1259010327261585</v>
      </c>
      <c r="I148" s="101">
        <f t="shared" si="77"/>
        <v>5.2899326099866988</v>
      </c>
      <c r="J148" s="101">
        <f t="shared" si="77"/>
        <v>5.2263202030915759</v>
      </c>
      <c r="K148" s="101">
        <f t="shared" si="77"/>
        <v>5.2105962144567934</v>
      </c>
      <c r="L148" s="101">
        <f t="shared" si="77"/>
        <v>4.1001348524836221</v>
      </c>
      <c r="M148" s="101">
        <f t="shared" si="77"/>
        <v>4.4910887946976938</v>
      </c>
    </row>
    <row r="149" spans="1:13">
      <c r="A149" s="101" t="s">
        <v>21</v>
      </c>
      <c r="B149" s="101">
        <f t="shared" si="77"/>
        <v>0</v>
      </c>
      <c r="C149" s="101">
        <f t="shared" si="77"/>
        <v>0</v>
      </c>
      <c r="D149" s="101">
        <f t="shared" si="77"/>
        <v>0</v>
      </c>
      <c r="E149" s="101">
        <f t="shared" si="77"/>
        <v>0</v>
      </c>
      <c r="F149" s="101">
        <f t="shared" si="77"/>
        <v>0</v>
      </c>
      <c r="G149" s="101">
        <f t="shared" si="77"/>
        <v>0</v>
      </c>
      <c r="H149" s="101">
        <f t="shared" si="77"/>
        <v>0</v>
      </c>
      <c r="I149" s="101">
        <f t="shared" si="77"/>
        <v>0</v>
      </c>
      <c r="J149" s="101">
        <f t="shared" si="77"/>
        <v>0</v>
      </c>
      <c r="K149" s="101">
        <f t="shared" si="77"/>
        <v>0</v>
      </c>
      <c r="L149" s="101">
        <f t="shared" si="77"/>
        <v>0</v>
      </c>
      <c r="M149" s="101">
        <f t="shared" si="77"/>
        <v>0</v>
      </c>
    </row>
    <row r="150" spans="1:13">
      <c r="A150" s="101" t="s">
        <v>51</v>
      </c>
      <c r="B150" s="101">
        <f t="shared" si="77"/>
        <v>0</v>
      </c>
      <c r="C150" s="101">
        <f t="shared" si="77"/>
        <v>0</v>
      </c>
      <c r="D150" s="101">
        <f t="shared" si="77"/>
        <v>0</v>
      </c>
      <c r="E150" s="101">
        <f t="shared" si="77"/>
        <v>0</v>
      </c>
      <c r="F150" s="101">
        <f t="shared" si="77"/>
        <v>0</v>
      </c>
      <c r="G150" s="101">
        <f t="shared" si="77"/>
        <v>0</v>
      </c>
      <c r="H150" s="101">
        <f t="shared" si="77"/>
        <v>0</v>
      </c>
      <c r="I150" s="101">
        <f t="shared" si="77"/>
        <v>0</v>
      </c>
      <c r="J150" s="101">
        <f t="shared" si="77"/>
        <v>0</v>
      </c>
      <c r="K150" s="101">
        <f t="shared" si="77"/>
        <v>0</v>
      </c>
      <c r="L150" s="101">
        <f t="shared" si="77"/>
        <v>0</v>
      </c>
      <c r="M150" s="101">
        <f t="shared" si="77"/>
        <v>0</v>
      </c>
    </row>
    <row r="151" spans="1:13">
      <c r="A151" s="101" t="s">
        <v>52</v>
      </c>
      <c r="B151" s="101">
        <f t="shared" si="77"/>
        <v>7.82926472448578</v>
      </c>
      <c r="C151" s="101">
        <f t="shared" si="77"/>
        <v>6.7570958842262749</v>
      </c>
      <c r="D151" s="101">
        <f t="shared" si="77"/>
        <v>6.4616958486612441</v>
      </c>
      <c r="E151" s="101">
        <f t="shared" si="77"/>
        <v>4.0940985052844328</v>
      </c>
      <c r="F151" s="101">
        <f t="shared" si="77"/>
        <v>4.0929333185834293</v>
      </c>
      <c r="G151" s="101">
        <f t="shared" si="77"/>
        <v>7.3955092881727671</v>
      </c>
      <c r="H151" s="101">
        <f t="shared" si="77"/>
        <v>6.5256994627109828</v>
      </c>
      <c r="I151" s="101">
        <f t="shared" si="77"/>
        <v>7.3058365624555783</v>
      </c>
      <c r="J151" s="101">
        <f t="shared" si="77"/>
        <v>1.9976385447874792</v>
      </c>
      <c r="K151" s="101">
        <f t="shared" si="77"/>
        <v>4.3688169260428991</v>
      </c>
      <c r="L151" s="101">
        <f t="shared" si="77"/>
        <v>1.0138307193245837</v>
      </c>
      <c r="M151" s="101">
        <f t="shared" si="77"/>
        <v>2.6658086664017078</v>
      </c>
    </row>
    <row r="152" spans="1:13">
      <c r="A152" s="101" t="s">
        <v>23</v>
      </c>
      <c r="B152" s="101">
        <f t="shared" si="77"/>
        <v>0.59868915179140281</v>
      </c>
      <c r="C152" s="101">
        <f t="shared" si="77"/>
        <v>0.20847830467340756</v>
      </c>
      <c r="D152" s="101">
        <f t="shared" si="77"/>
        <v>0.17454728641517853</v>
      </c>
      <c r="E152" s="101">
        <f t="shared" si="77"/>
        <v>0.21315221109773469</v>
      </c>
      <c r="F152" s="101">
        <f t="shared" si="77"/>
        <v>0.21410891181200487</v>
      </c>
      <c r="G152" s="101">
        <f t="shared" si="77"/>
        <v>0.32040214484065516</v>
      </c>
      <c r="H152" s="101">
        <f t="shared" si="77"/>
        <v>0.26460318073355144</v>
      </c>
      <c r="I152" s="101">
        <f t="shared" si="77"/>
        <v>0.36355618859273209</v>
      </c>
      <c r="J152" s="101">
        <f t="shared" si="77"/>
        <v>3.3414760299868532E-3</v>
      </c>
      <c r="K152" s="101">
        <f t="shared" si="77"/>
        <v>6.1849067231174865E-2</v>
      </c>
      <c r="L152" s="101">
        <f t="shared" si="77"/>
        <v>0</v>
      </c>
      <c r="M152" s="101">
        <f t="shared" si="77"/>
        <v>1.5263847200910317E-2</v>
      </c>
    </row>
    <row r="153" spans="1:13">
      <c r="A153" s="101" t="s">
        <v>24</v>
      </c>
      <c r="B153" s="101">
        <f t="shared" si="77"/>
        <v>0.72650867365542249</v>
      </c>
      <c r="C153" s="101">
        <f t="shared" si="77"/>
        <v>2.254723355600305</v>
      </c>
      <c r="D153" s="101">
        <f t="shared" si="77"/>
        <v>1.7472868600595042</v>
      </c>
      <c r="E153" s="101">
        <f t="shared" si="77"/>
        <v>4.9837142876295033</v>
      </c>
      <c r="F153" s="101">
        <f t="shared" si="77"/>
        <v>5.0377469465579381</v>
      </c>
      <c r="G153" s="101">
        <f t="shared" si="77"/>
        <v>1.4062199683237524</v>
      </c>
      <c r="H153" s="101">
        <f t="shared" si="77"/>
        <v>1.3105139027266943</v>
      </c>
      <c r="I153" s="101">
        <f t="shared" si="77"/>
        <v>1.5543171103822389</v>
      </c>
      <c r="J153" s="101">
        <f t="shared" si="77"/>
        <v>7.1507288621631631</v>
      </c>
      <c r="K153" s="101">
        <f t="shared" si="77"/>
        <v>4.7518951577360768</v>
      </c>
      <c r="L153" s="101">
        <f t="shared" si="77"/>
        <v>9.2797972022336843</v>
      </c>
      <c r="M153" s="101">
        <f t="shared" si="77"/>
        <v>7.0796953721604083</v>
      </c>
    </row>
    <row r="154" spans="1:13">
      <c r="A154" s="101" t="s">
        <v>25</v>
      </c>
      <c r="B154" s="101">
        <f t="shared" si="77"/>
        <v>0</v>
      </c>
      <c r="C154" s="101">
        <f t="shared" si="77"/>
        <v>0</v>
      </c>
      <c r="D154" s="101">
        <f t="shared" si="77"/>
        <v>0</v>
      </c>
      <c r="E154" s="101">
        <f t="shared" si="77"/>
        <v>0</v>
      </c>
      <c r="F154" s="101">
        <f t="shared" si="77"/>
        <v>0</v>
      </c>
      <c r="G154" s="101">
        <f t="shared" si="77"/>
        <v>0</v>
      </c>
      <c r="H154" s="101">
        <f t="shared" si="77"/>
        <v>0</v>
      </c>
      <c r="I154" s="101">
        <f t="shared" si="77"/>
        <v>0</v>
      </c>
      <c r="J154" s="101">
        <f t="shared" si="77"/>
        <v>0</v>
      </c>
      <c r="K154" s="101">
        <f t="shared" si="77"/>
        <v>0</v>
      </c>
      <c r="L154" s="101">
        <f t="shared" si="77"/>
        <v>0</v>
      </c>
      <c r="M154" s="101">
        <f t="shared" si="77"/>
        <v>0</v>
      </c>
    </row>
    <row r="155" spans="1:13">
      <c r="A155" s="101" t="s">
        <v>162</v>
      </c>
      <c r="B155" s="101">
        <f t="shared" si="77"/>
        <v>1.8760575044088464E-2</v>
      </c>
      <c r="C155" s="101">
        <f t="shared" si="77"/>
        <v>2.3129684875605069E-2</v>
      </c>
      <c r="D155" s="101">
        <f t="shared" si="77"/>
        <v>1.7996843360792512E-2</v>
      </c>
      <c r="E155" s="101">
        <f t="shared" si="77"/>
        <v>2.3421118874736375E-2</v>
      </c>
      <c r="F155" s="101">
        <f t="shared" si="77"/>
        <v>1.8820992753915498E-2</v>
      </c>
      <c r="G155" s="101">
        <f t="shared" si="77"/>
        <v>3.5763857846576264E-2</v>
      </c>
      <c r="H155" s="101">
        <f t="shared" si="77"/>
        <v>3.2951145668009239E-2</v>
      </c>
      <c r="I155" s="101">
        <f t="shared" si="77"/>
        <v>2.4113222473658057E-2</v>
      </c>
      <c r="J155" s="101">
        <f t="shared" si="77"/>
        <v>0</v>
      </c>
      <c r="K155" s="101">
        <f t="shared" si="77"/>
        <v>0</v>
      </c>
      <c r="L155" s="101">
        <f t="shared" si="77"/>
        <v>0</v>
      </c>
      <c r="M155" s="101">
        <f t="shared" si="77"/>
        <v>0</v>
      </c>
    </row>
    <row r="156" spans="1:13">
      <c r="A156" s="101" t="s">
        <v>26</v>
      </c>
      <c r="B156" s="101">
        <f t="shared" si="77"/>
        <v>7.4247937869014353E-3</v>
      </c>
      <c r="C156" s="101">
        <f t="shared" si="77"/>
        <v>1.6782219643159239E-2</v>
      </c>
      <c r="D156" s="101">
        <f t="shared" si="77"/>
        <v>0</v>
      </c>
      <c r="E156" s="101">
        <f t="shared" si="77"/>
        <v>1.812658729458912E-2</v>
      </c>
      <c r="F156" s="101">
        <f t="shared" si="77"/>
        <v>1.8207945676576829E-2</v>
      </c>
      <c r="G156" s="101">
        <f t="shared" si="77"/>
        <v>7.4140583644649897E-3</v>
      </c>
      <c r="H156" s="101">
        <f t="shared" si="77"/>
        <v>1.9126706379904362E-2</v>
      </c>
      <c r="I156" s="101">
        <f t="shared" si="77"/>
        <v>7.4982195520670444E-3</v>
      </c>
      <c r="J156" s="101">
        <f t="shared" si="77"/>
        <v>0</v>
      </c>
      <c r="K156" s="101">
        <f t="shared" si="77"/>
        <v>3.5765827017563034E-2</v>
      </c>
      <c r="L156" s="101">
        <f t="shared" si="77"/>
        <v>0</v>
      </c>
      <c r="M156" s="101">
        <f t="shared" si="77"/>
        <v>0.13301369842054966</v>
      </c>
    </row>
    <row r="157" spans="1:13">
      <c r="A157" s="101" t="s">
        <v>27</v>
      </c>
      <c r="B157" s="101">
        <f t="shared" si="77"/>
        <v>8.9573504478742075E-3</v>
      </c>
      <c r="C157" s="101">
        <f t="shared" si="77"/>
        <v>8.67696379097746E-3</v>
      </c>
      <c r="D157" s="101">
        <f t="shared" si="77"/>
        <v>1.7185404238332536E-2</v>
      </c>
      <c r="E157" s="101">
        <f t="shared" si="77"/>
        <v>0</v>
      </c>
      <c r="F157" s="101">
        <f t="shared" si="77"/>
        <v>1.647469495873554E-2</v>
      </c>
      <c r="G157" s="101">
        <f t="shared" si="77"/>
        <v>8.9443991196987548E-3</v>
      </c>
      <c r="H157" s="101">
        <f t="shared" si="77"/>
        <v>1.7305996995563677E-2</v>
      </c>
      <c r="I157" s="101">
        <f t="shared" si="77"/>
        <v>9.0459320744308881E-3</v>
      </c>
      <c r="J157" s="101">
        <f t="shared" si="77"/>
        <v>6.5016993588956851E-2</v>
      </c>
      <c r="K157" s="101">
        <f t="shared" si="77"/>
        <v>0</v>
      </c>
      <c r="L157" s="101">
        <f t="shared" si="77"/>
        <v>1.108752932830909E-2</v>
      </c>
      <c r="M157" s="101">
        <f t="shared" si="77"/>
        <v>3.8823180252862146E-3</v>
      </c>
    </row>
    <row r="158" spans="1:13">
      <c r="A158" s="101" t="s">
        <v>28</v>
      </c>
      <c r="B158" s="101">
        <f t="shared" si="77"/>
        <v>0</v>
      </c>
      <c r="C158" s="101">
        <f t="shared" si="77"/>
        <v>2.8539493513308374E-2</v>
      </c>
      <c r="D158" s="101">
        <f t="shared" si="77"/>
        <v>4.5219756089656143E-2</v>
      </c>
      <c r="E158" s="101">
        <f t="shared" si="77"/>
        <v>3.7761479029738414E-2</v>
      </c>
      <c r="F158" s="101">
        <f t="shared" si="77"/>
        <v>3.5221610900158067E-2</v>
      </c>
      <c r="G158" s="101">
        <f t="shared" si="77"/>
        <v>8.8257353657227033E-3</v>
      </c>
      <c r="H158" s="101">
        <f t="shared" si="77"/>
        <v>0.29314489084021117</v>
      </c>
      <c r="I158" s="101">
        <f t="shared" si="77"/>
        <v>1.487653550130616E-2</v>
      </c>
      <c r="J158" s="101">
        <f t="shared" si="77"/>
        <v>1.5095158749772915E-2</v>
      </c>
      <c r="K158" s="101">
        <f t="shared" si="77"/>
        <v>0</v>
      </c>
      <c r="L158" s="101">
        <f t="shared" si="77"/>
        <v>0</v>
      </c>
      <c r="M158" s="101">
        <f t="shared" si="77"/>
        <v>0</v>
      </c>
    </row>
    <row r="159" spans="1:13">
      <c r="A159" s="101" t="s">
        <v>163</v>
      </c>
      <c r="B159" s="101">
        <f t="shared" si="77"/>
        <v>0</v>
      </c>
      <c r="C159" s="101">
        <f t="shared" si="77"/>
        <v>1.7533848975116813E-3</v>
      </c>
      <c r="D159" s="101">
        <f t="shared" si="77"/>
        <v>0</v>
      </c>
      <c r="E159" s="101">
        <f t="shared" si="77"/>
        <v>8.2855618763086683E-4</v>
      </c>
      <c r="F159" s="101">
        <f t="shared" si="77"/>
        <v>0</v>
      </c>
      <c r="G159" s="101">
        <f t="shared" si="77"/>
        <v>6.3259927655068167E-3</v>
      </c>
      <c r="H159" s="101">
        <f t="shared" si="77"/>
        <v>8.7427107279035971E-4</v>
      </c>
      <c r="I159" s="101">
        <f t="shared" si="77"/>
        <v>9.1397181464075771E-4</v>
      </c>
      <c r="J159" s="101">
        <f t="shared" si="77"/>
        <v>0</v>
      </c>
      <c r="K159" s="101">
        <f t="shared" si="77"/>
        <v>0</v>
      </c>
      <c r="L159" s="101">
        <f t="shared" si="77"/>
        <v>0</v>
      </c>
      <c r="M159" s="101">
        <f t="shared" si="77"/>
        <v>0</v>
      </c>
    </row>
    <row r="160" spans="1:13">
      <c r="A160" s="101" t="s">
        <v>164</v>
      </c>
      <c r="B160" s="101">
        <f t="shared" si="77"/>
        <v>0</v>
      </c>
      <c r="C160" s="101">
        <f t="shared" si="77"/>
        <v>0</v>
      </c>
      <c r="D160" s="101">
        <f t="shared" si="77"/>
        <v>0</v>
      </c>
      <c r="E160" s="101">
        <f t="shared" si="77"/>
        <v>0</v>
      </c>
      <c r="F160" s="101">
        <f t="shared" si="77"/>
        <v>1.3655764453374799E-3</v>
      </c>
      <c r="G160" s="101">
        <f t="shared" si="77"/>
        <v>1.4827905203891405E-3</v>
      </c>
      <c r="H160" s="101">
        <f t="shared" si="77"/>
        <v>5.7379300604754376E-3</v>
      </c>
      <c r="I160" s="101">
        <f t="shared" si="77"/>
        <v>1.4996225177954657E-3</v>
      </c>
      <c r="J160" s="101">
        <f t="shared" si="77"/>
        <v>0</v>
      </c>
      <c r="K160" s="101">
        <f t="shared" si="77"/>
        <v>0</v>
      </c>
      <c r="L160" s="101">
        <f t="shared" si="77"/>
        <v>0</v>
      </c>
      <c r="M160" s="101">
        <f t="shared" si="77"/>
        <v>0</v>
      </c>
    </row>
    <row r="161" spans="1:13">
      <c r="A161" s="101" t="s">
        <v>153</v>
      </c>
      <c r="B161" s="101">
        <f t="shared" si="77"/>
        <v>5.8439640079920342E-2</v>
      </c>
      <c r="C161" s="101">
        <f t="shared" si="77"/>
        <v>5.6610338501556098E-2</v>
      </c>
      <c r="D161" s="101">
        <f t="shared" si="77"/>
        <v>0.13314391933648134</v>
      </c>
      <c r="E161" s="101">
        <f t="shared" si="77"/>
        <v>0.21400821378538062</v>
      </c>
      <c r="F161" s="101">
        <f t="shared" si="77"/>
        <v>8.0613283700718047E-2</v>
      </c>
      <c r="G161" s="101">
        <f t="shared" si="77"/>
        <v>8.0238321471423915E-2</v>
      </c>
      <c r="H161" s="101">
        <f t="shared" si="77"/>
        <v>2.822699194171149E-2</v>
      </c>
      <c r="I161" s="101">
        <f t="shared" si="77"/>
        <v>8.8526347890509421E-2</v>
      </c>
      <c r="J161" s="101">
        <f t="shared" si="77"/>
        <v>0</v>
      </c>
      <c r="K161" s="101">
        <f t="shared" si="77"/>
        <v>0</v>
      </c>
      <c r="L161" s="101">
        <f t="shared" si="77"/>
        <v>0</v>
      </c>
      <c r="M161" s="101">
        <f t="shared" si="77"/>
        <v>0</v>
      </c>
    </row>
    <row r="162" spans="1:13">
      <c r="A162" s="101" t="s">
        <v>154</v>
      </c>
      <c r="B162" s="101">
        <f t="shared" ref="B162:M162" si="78">B$25*B142/B$121</f>
        <v>3.9152086090214616E-3</v>
      </c>
      <c r="C162" s="101">
        <f t="shared" si="78"/>
        <v>3.7926531436162409E-3</v>
      </c>
      <c r="D162" s="101">
        <f t="shared" si="78"/>
        <v>3.7558228303661866E-3</v>
      </c>
      <c r="E162" s="101">
        <f t="shared" si="78"/>
        <v>3.5844111970400492E-3</v>
      </c>
      <c r="F162" s="101">
        <f t="shared" si="78"/>
        <v>3.6004992720113844E-3</v>
      </c>
      <c r="G162" s="101">
        <f t="shared" si="78"/>
        <v>3.9095476547174107E-3</v>
      </c>
      <c r="H162" s="101">
        <f t="shared" si="78"/>
        <v>3.7821780457864477E-3</v>
      </c>
      <c r="I162" s="101">
        <f t="shared" si="78"/>
        <v>3.9539271507279721E-3</v>
      </c>
      <c r="J162" s="101">
        <f t="shared" si="78"/>
        <v>0</v>
      </c>
      <c r="K162" s="101">
        <f t="shared" si="78"/>
        <v>0</v>
      </c>
      <c r="L162" s="101">
        <f t="shared" si="78"/>
        <v>0</v>
      </c>
      <c r="M162" s="101">
        <f t="shared" si="78"/>
        <v>0</v>
      </c>
    </row>
    <row r="163" spans="1:13">
      <c r="A163" s="101" t="s">
        <v>158</v>
      </c>
      <c r="B163" s="101">
        <f t="shared" ref="B163:M163" si="79">SUM(B146:B162)</f>
        <v>19.982608047869167</v>
      </c>
      <c r="C163" s="101">
        <f t="shared" si="79"/>
        <v>19.938452403130395</v>
      </c>
      <c r="D163" s="101">
        <f t="shared" si="79"/>
        <v>19.746190014623792</v>
      </c>
      <c r="E163" s="101">
        <f t="shared" si="79"/>
        <v>19.981055048173602</v>
      </c>
      <c r="F163" s="101">
        <f t="shared" si="79"/>
        <v>19.906126455264854</v>
      </c>
      <c r="G163" s="101">
        <f t="shared" si="79"/>
        <v>19.980522693327231</v>
      </c>
      <c r="H163" s="101">
        <f t="shared" si="79"/>
        <v>19.619508083740314</v>
      </c>
      <c r="I163" s="101">
        <f t="shared" si="79"/>
        <v>20.039027563983208</v>
      </c>
      <c r="J163" s="101">
        <f t="shared" si="79"/>
        <v>19.942518606517254</v>
      </c>
      <c r="K163" s="101">
        <f t="shared" si="79"/>
        <v>19.911812542628059</v>
      </c>
      <c r="L163" s="101">
        <f t="shared" si="79"/>
        <v>20.180163320896273</v>
      </c>
      <c r="M163" s="101">
        <f t="shared" si="79"/>
        <v>20.072574729285176</v>
      </c>
    </row>
    <row r="164" spans="1:13">
      <c r="A164" s="101" t="s">
        <v>51</v>
      </c>
      <c r="B164" s="101">
        <f t="shared" ref="B164:M164" si="80">20-SUM(B146:B160)</f>
        <v>7.9746800819776809E-2</v>
      </c>
      <c r="C164" s="101">
        <f t="shared" si="80"/>
        <v>0.12195058851477825</v>
      </c>
      <c r="D164" s="101">
        <f t="shared" si="80"/>
        <v>0.39070972754305799</v>
      </c>
      <c r="E164" s="101">
        <f t="shared" si="80"/>
        <v>0.23653757680881782</v>
      </c>
      <c r="F164" s="101">
        <f t="shared" si="80"/>
        <v>0.17808732770787472</v>
      </c>
      <c r="G164" s="101">
        <f t="shared" si="80"/>
        <v>0.10362517579891062</v>
      </c>
      <c r="H164" s="101">
        <f t="shared" si="80"/>
        <v>0.41250108624718251</v>
      </c>
      <c r="I164" s="101">
        <f t="shared" si="80"/>
        <v>5.3452711058032065E-2</v>
      </c>
      <c r="J164" s="101">
        <f t="shared" si="80"/>
        <v>5.7481393482746057E-2</v>
      </c>
      <c r="K164" s="101">
        <f t="shared" si="80"/>
        <v>8.8187457371940781E-2</v>
      </c>
      <c r="L164" s="101">
        <f t="shared" si="80"/>
        <v>-0.1801633208962734</v>
      </c>
      <c r="M164" s="101">
        <f t="shared" si="80"/>
        <v>-7.2574729285175721E-2</v>
      </c>
    </row>
    <row r="165" spans="1:13">
      <c r="A165" s="101" t="s">
        <v>182</v>
      </c>
      <c r="B165" s="101">
        <f t="shared" ref="B165:M165" si="81">IF(OR(B164&lt;0),0,B164)</f>
        <v>7.9746800819776809E-2</v>
      </c>
      <c r="C165" s="101">
        <f t="shared" si="81"/>
        <v>0.12195058851477825</v>
      </c>
      <c r="D165" s="101">
        <f t="shared" si="81"/>
        <v>0.39070972754305799</v>
      </c>
      <c r="E165" s="101">
        <f t="shared" si="81"/>
        <v>0.23653757680881782</v>
      </c>
      <c r="F165" s="101">
        <f t="shared" si="81"/>
        <v>0.17808732770787472</v>
      </c>
      <c r="G165" s="101">
        <f t="shared" si="81"/>
        <v>0.10362517579891062</v>
      </c>
      <c r="H165" s="101">
        <f t="shared" si="81"/>
        <v>0.41250108624718251</v>
      </c>
      <c r="I165" s="101">
        <f t="shared" si="81"/>
        <v>5.3452711058032065E-2</v>
      </c>
      <c r="J165" s="101">
        <f t="shared" si="81"/>
        <v>5.7481393482746057E-2</v>
      </c>
      <c r="K165" s="101">
        <f t="shared" si="81"/>
        <v>8.8187457371940781E-2</v>
      </c>
      <c r="L165" s="101">
        <f t="shared" si="81"/>
        <v>0</v>
      </c>
      <c r="M165" s="101">
        <f t="shared" si="81"/>
        <v>0</v>
      </c>
    </row>
    <row r="166" spans="1:13">
      <c r="A166" s="101" t="s">
        <v>183</v>
      </c>
      <c r="B166" s="101">
        <f t="shared" ref="B166:M166" si="82">B151-B164</f>
        <v>7.7495179236660032</v>
      </c>
      <c r="C166" s="101">
        <f t="shared" si="82"/>
        <v>6.6351452957114967</v>
      </c>
      <c r="D166" s="101">
        <f t="shared" si="82"/>
        <v>6.0709861211181861</v>
      </c>
      <c r="E166" s="101">
        <f t="shared" si="82"/>
        <v>3.8575609284756149</v>
      </c>
      <c r="F166" s="101">
        <f t="shared" si="82"/>
        <v>3.9148459908755546</v>
      </c>
      <c r="G166" s="101">
        <f t="shared" si="82"/>
        <v>7.2918841123738565</v>
      </c>
      <c r="H166" s="101">
        <f t="shared" si="82"/>
        <v>6.1131983764638003</v>
      </c>
      <c r="I166" s="101">
        <f t="shared" si="82"/>
        <v>7.2523838513975463</v>
      </c>
      <c r="J166" s="101">
        <f t="shared" si="82"/>
        <v>1.9401571513047331</v>
      </c>
      <c r="K166" s="101">
        <f t="shared" si="82"/>
        <v>4.2806294686709583</v>
      </c>
      <c r="L166" s="101">
        <f t="shared" si="82"/>
        <v>1.1939940402208571</v>
      </c>
      <c r="M166" s="101">
        <f t="shared" si="82"/>
        <v>2.7383833956868835</v>
      </c>
    </row>
    <row r="167" spans="1:13">
      <c r="A167" s="101" t="s">
        <v>184</v>
      </c>
      <c r="B167" s="101">
        <f t="shared" ref="B167:M167" si="83">IF(OR(B165&gt;B151),B151,B165)</f>
        <v>7.9746800819776809E-2</v>
      </c>
      <c r="C167" s="101">
        <f t="shared" si="83"/>
        <v>0.12195058851477825</v>
      </c>
      <c r="D167" s="101">
        <f t="shared" si="83"/>
        <v>0.39070972754305799</v>
      </c>
      <c r="E167" s="101">
        <f t="shared" si="83"/>
        <v>0.23653757680881782</v>
      </c>
      <c r="F167" s="101">
        <f t="shared" si="83"/>
        <v>0.17808732770787472</v>
      </c>
      <c r="G167" s="101">
        <f t="shared" si="83"/>
        <v>0.10362517579891062</v>
      </c>
      <c r="H167" s="101">
        <f t="shared" si="83"/>
        <v>0.41250108624718251</v>
      </c>
      <c r="I167" s="101">
        <f t="shared" si="83"/>
        <v>5.3452711058032065E-2</v>
      </c>
      <c r="J167" s="101">
        <f t="shared" si="83"/>
        <v>5.7481393482746057E-2</v>
      </c>
      <c r="K167" s="101">
        <f t="shared" si="83"/>
        <v>8.8187457371940781E-2</v>
      </c>
      <c r="L167" s="101">
        <f t="shared" si="83"/>
        <v>0</v>
      </c>
      <c r="M167" s="101">
        <f t="shared" si="83"/>
        <v>0</v>
      </c>
    </row>
    <row r="168" spans="1:13">
      <c r="A168" s="101" t="s">
        <v>185</v>
      </c>
      <c r="B168" s="101">
        <f t="shared" ref="B168:M168" si="84">IF(OR(B165&gt;B151),0,B166)</f>
        <v>7.7495179236660032</v>
      </c>
      <c r="C168" s="101">
        <f t="shared" si="84"/>
        <v>6.6351452957114967</v>
      </c>
      <c r="D168" s="101">
        <f t="shared" si="84"/>
        <v>6.0709861211181861</v>
      </c>
      <c r="E168" s="101">
        <f t="shared" si="84"/>
        <v>3.8575609284756149</v>
      </c>
      <c r="F168" s="101">
        <f t="shared" si="84"/>
        <v>3.9148459908755546</v>
      </c>
      <c r="G168" s="101">
        <f t="shared" si="84"/>
        <v>7.2918841123738565</v>
      </c>
      <c r="H168" s="101">
        <f t="shared" si="84"/>
        <v>6.1131983764638003</v>
      </c>
      <c r="I168" s="101">
        <f t="shared" si="84"/>
        <v>7.2523838513975463</v>
      </c>
      <c r="J168" s="101">
        <f t="shared" si="84"/>
        <v>1.9401571513047331</v>
      </c>
      <c r="K168" s="101">
        <f t="shared" si="84"/>
        <v>4.2806294686709583</v>
      </c>
      <c r="L168" s="101">
        <f t="shared" si="84"/>
        <v>1.1939940402208571</v>
      </c>
      <c r="M168" s="101">
        <f t="shared" si="84"/>
        <v>2.7383833956868835</v>
      </c>
    </row>
    <row r="170" spans="1:13">
      <c r="A170" s="101" t="s">
        <v>186</v>
      </c>
    </row>
    <row r="171" spans="1:13">
      <c r="A171" s="101" t="s">
        <v>18</v>
      </c>
      <c r="B171" s="101">
        <f t="shared" ref="B171:M172" si="85">B146*2</f>
        <v>10.726576972233007</v>
      </c>
      <c r="C171" s="101">
        <f t="shared" si="85"/>
        <v>11.236572805669578</v>
      </c>
      <c r="D171" s="101">
        <f t="shared" si="85"/>
        <v>11.083140031970037</v>
      </c>
      <c r="E171" s="101">
        <f t="shared" si="85"/>
        <v>11.769962057257416</v>
      </c>
      <c r="F171" s="101">
        <f t="shared" si="85"/>
        <v>11.844030798786365</v>
      </c>
      <c r="G171" s="101">
        <f t="shared" si="85"/>
        <v>10.849453425664507</v>
      </c>
      <c r="H171" s="101">
        <f t="shared" si="85"/>
        <v>11.932938530459261</v>
      </c>
      <c r="I171" s="101">
        <f t="shared" si="85"/>
        <v>10.725354751776063</v>
      </c>
      <c r="J171" s="101">
        <f t="shared" si="85"/>
        <v>10.903485965117774</v>
      </c>
      <c r="K171" s="101">
        <f t="shared" si="85"/>
        <v>10.689643238827848</v>
      </c>
      <c r="L171" s="101">
        <f t="shared" si="85"/>
        <v>11.550626035052144</v>
      </c>
      <c r="M171" s="101">
        <f t="shared" si="85"/>
        <v>11.340539751354672</v>
      </c>
    </row>
    <row r="172" spans="1:13">
      <c r="A172" s="101" t="s">
        <v>20</v>
      </c>
      <c r="B172" s="101">
        <f t="shared" si="85"/>
        <v>2.431937462650002E-2</v>
      </c>
      <c r="C172" s="101">
        <f t="shared" si="85"/>
        <v>4.7116239178391493E-2</v>
      </c>
      <c r="D172" s="101">
        <f t="shared" si="85"/>
        <v>3.9993167260019419E-2</v>
      </c>
      <c r="E172" s="101">
        <f t="shared" si="85"/>
        <v>3.1806602486876029E-2</v>
      </c>
      <c r="F172" s="101">
        <f t="shared" si="85"/>
        <v>3.194936150007599E-2</v>
      </c>
      <c r="G172" s="101">
        <f t="shared" si="85"/>
        <v>2.4284211527362338E-2</v>
      </c>
      <c r="H172" s="101">
        <f t="shared" si="85"/>
        <v>5.0342257217695703E-2</v>
      </c>
      <c r="I172" s="101">
        <f t="shared" si="85"/>
        <v>2.455987540558564E-2</v>
      </c>
      <c r="J172" s="101">
        <f t="shared" si="85"/>
        <v>6.5268771094867103E-2</v>
      </c>
      <c r="K172" s="101">
        <f t="shared" si="85"/>
        <v>0.27613546145925261</v>
      </c>
      <c r="L172" s="101">
        <f t="shared" si="85"/>
        <v>0</v>
      </c>
      <c r="M172" s="101">
        <f t="shared" si="85"/>
        <v>2.7104313402567654E-2</v>
      </c>
    </row>
    <row r="173" spans="1:13">
      <c r="A173" s="101" t="s">
        <v>177</v>
      </c>
      <c r="B173" s="101">
        <f t="shared" ref="B173:M174" si="86">B148*1.5</f>
        <v>8.0327996348084909</v>
      </c>
      <c r="C173" s="101">
        <f t="shared" si="86"/>
        <v>7.4055383967610346</v>
      </c>
      <c r="D173" s="101">
        <f t="shared" si="86"/>
        <v>8.3756875110258058</v>
      </c>
      <c r="E173" s="101">
        <f t="shared" si="86"/>
        <v>6.7372130218810042</v>
      </c>
      <c r="F173" s="101">
        <f t="shared" si="86"/>
        <v>6.6735638916912121</v>
      </c>
      <c r="G173" s="101">
        <f t="shared" si="86"/>
        <v>7.9029266554284323</v>
      </c>
      <c r="H173" s="101">
        <f t="shared" si="86"/>
        <v>7.6888515490892377</v>
      </c>
      <c r="I173" s="101">
        <f t="shared" si="86"/>
        <v>7.9348989149800477</v>
      </c>
      <c r="J173" s="101">
        <f t="shared" si="86"/>
        <v>7.8394803046373642</v>
      </c>
      <c r="K173" s="101">
        <f t="shared" si="86"/>
        <v>7.8158943216851906</v>
      </c>
      <c r="L173" s="101">
        <f t="shared" si="86"/>
        <v>6.1502022787254331</v>
      </c>
      <c r="M173" s="101">
        <f t="shared" si="86"/>
        <v>6.7366331920465408</v>
      </c>
    </row>
    <row r="174" spans="1:13">
      <c r="A174" s="101" t="s">
        <v>21</v>
      </c>
      <c r="B174" s="101">
        <f t="shared" si="86"/>
        <v>0</v>
      </c>
      <c r="C174" s="101">
        <f t="shared" si="86"/>
        <v>0</v>
      </c>
      <c r="D174" s="101">
        <f t="shared" si="86"/>
        <v>0</v>
      </c>
      <c r="E174" s="101">
        <f t="shared" si="86"/>
        <v>0</v>
      </c>
      <c r="F174" s="101">
        <f t="shared" si="86"/>
        <v>0</v>
      </c>
      <c r="G174" s="101">
        <f t="shared" si="86"/>
        <v>0</v>
      </c>
      <c r="H174" s="101">
        <f t="shared" si="86"/>
        <v>0</v>
      </c>
      <c r="I174" s="101">
        <f t="shared" si="86"/>
        <v>0</v>
      </c>
      <c r="J174" s="101">
        <f t="shared" si="86"/>
        <v>0</v>
      </c>
      <c r="K174" s="101">
        <f t="shared" si="86"/>
        <v>0</v>
      </c>
      <c r="L174" s="101">
        <f t="shared" si="86"/>
        <v>0</v>
      </c>
      <c r="M174" s="101">
        <f t="shared" si="86"/>
        <v>0</v>
      </c>
    </row>
    <row r="175" spans="1:13">
      <c r="A175" s="101" t="s">
        <v>51</v>
      </c>
      <c r="B175" s="101">
        <f t="shared" ref="B175:M175" si="87">B167*1.5</f>
        <v>0.11962020122966521</v>
      </c>
      <c r="C175" s="101">
        <f t="shared" si="87"/>
        <v>0.18292588277216737</v>
      </c>
      <c r="D175" s="101">
        <f t="shared" si="87"/>
        <v>0.58606459131458699</v>
      </c>
      <c r="E175" s="101">
        <f t="shared" si="87"/>
        <v>0.35480636521322673</v>
      </c>
      <c r="F175" s="101">
        <f t="shared" si="87"/>
        <v>0.26713099156181208</v>
      </c>
      <c r="G175" s="101">
        <f t="shared" si="87"/>
        <v>0.15543776369836593</v>
      </c>
      <c r="H175" s="101">
        <f t="shared" si="87"/>
        <v>0.61875162937077377</v>
      </c>
      <c r="I175" s="101">
        <f t="shared" si="87"/>
        <v>8.0179066587048098E-2</v>
      </c>
      <c r="J175" s="101">
        <f t="shared" si="87"/>
        <v>8.6222090224119086E-2</v>
      </c>
      <c r="K175" s="101">
        <f t="shared" si="87"/>
        <v>0.13228118605791117</v>
      </c>
      <c r="L175" s="101">
        <f t="shared" si="87"/>
        <v>0</v>
      </c>
      <c r="M175" s="101">
        <f t="shared" si="87"/>
        <v>0</v>
      </c>
    </row>
    <row r="176" spans="1:13">
      <c r="A176" s="101" t="s">
        <v>52</v>
      </c>
      <c r="B176" s="101">
        <f t="shared" ref="B176:M176" si="88">B168</f>
        <v>7.7495179236660032</v>
      </c>
      <c r="C176" s="101">
        <f t="shared" si="88"/>
        <v>6.6351452957114967</v>
      </c>
      <c r="D176" s="101">
        <f t="shared" si="88"/>
        <v>6.0709861211181861</v>
      </c>
      <c r="E176" s="101">
        <f t="shared" si="88"/>
        <v>3.8575609284756149</v>
      </c>
      <c r="F176" s="101">
        <f t="shared" si="88"/>
        <v>3.9148459908755546</v>
      </c>
      <c r="G176" s="101">
        <f t="shared" si="88"/>
        <v>7.2918841123738565</v>
      </c>
      <c r="H176" s="101">
        <f t="shared" si="88"/>
        <v>6.1131983764638003</v>
      </c>
      <c r="I176" s="101">
        <f t="shared" si="88"/>
        <v>7.2523838513975463</v>
      </c>
      <c r="J176" s="101">
        <f t="shared" si="88"/>
        <v>1.9401571513047331</v>
      </c>
      <c r="K176" s="101">
        <f t="shared" si="88"/>
        <v>4.2806294686709583</v>
      </c>
      <c r="L176" s="101">
        <f t="shared" si="88"/>
        <v>1.1939940402208571</v>
      </c>
      <c r="M176" s="101">
        <f t="shared" si="88"/>
        <v>2.7383833956868835</v>
      </c>
    </row>
    <row r="177" spans="1:13">
      <c r="A177" s="101" t="s">
        <v>23</v>
      </c>
      <c r="B177" s="101">
        <f t="shared" ref="B177:M187" si="89">B152</f>
        <v>0.59868915179140281</v>
      </c>
      <c r="C177" s="101">
        <f t="shared" si="89"/>
        <v>0.20847830467340756</v>
      </c>
      <c r="D177" s="101">
        <f t="shared" si="89"/>
        <v>0.17454728641517853</v>
      </c>
      <c r="E177" s="101">
        <f t="shared" si="89"/>
        <v>0.21315221109773469</v>
      </c>
      <c r="F177" s="101">
        <f t="shared" si="89"/>
        <v>0.21410891181200487</v>
      </c>
      <c r="G177" s="101">
        <f t="shared" si="89"/>
        <v>0.32040214484065516</v>
      </c>
      <c r="H177" s="101">
        <f t="shared" si="89"/>
        <v>0.26460318073355144</v>
      </c>
      <c r="I177" s="101">
        <f t="shared" si="89"/>
        <v>0.36355618859273209</v>
      </c>
      <c r="J177" s="101">
        <f t="shared" si="89"/>
        <v>3.3414760299868532E-3</v>
      </c>
      <c r="K177" s="101">
        <f t="shared" si="89"/>
        <v>6.1849067231174865E-2</v>
      </c>
      <c r="L177" s="101">
        <f t="shared" si="89"/>
        <v>0</v>
      </c>
      <c r="M177" s="101">
        <f t="shared" si="89"/>
        <v>1.5263847200910317E-2</v>
      </c>
    </row>
    <row r="178" spans="1:13">
      <c r="A178" s="101" t="s">
        <v>24</v>
      </c>
      <c r="B178" s="101">
        <f t="shared" si="89"/>
        <v>0.72650867365542249</v>
      </c>
      <c r="C178" s="101">
        <f t="shared" si="89"/>
        <v>2.254723355600305</v>
      </c>
      <c r="D178" s="101">
        <f t="shared" si="89"/>
        <v>1.7472868600595042</v>
      </c>
      <c r="E178" s="101">
        <f t="shared" si="89"/>
        <v>4.9837142876295033</v>
      </c>
      <c r="F178" s="101">
        <f t="shared" si="89"/>
        <v>5.0377469465579381</v>
      </c>
      <c r="G178" s="101">
        <f t="shared" si="89"/>
        <v>1.4062199683237524</v>
      </c>
      <c r="H178" s="101">
        <f t="shared" si="89"/>
        <v>1.3105139027266943</v>
      </c>
      <c r="I178" s="101">
        <f t="shared" si="89"/>
        <v>1.5543171103822389</v>
      </c>
      <c r="J178" s="101">
        <f t="shared" si="89"/>
        <v>7.1507288621631631</v>
      </c>
      <c r="K178" s="101">
        <f t="shared" si="89"/>
        <v>4.7518951577360768</v>
      </c>
      <c r="L178" s="101">
        <f t="shared" si="89"/>
        <v>9.2797972022336843</v>
      </c>
      <c r="M178" s="101">
        <f t="shared" si="89"/>
        <v>7.0796953721604083</v>
      </c>
    </row>
    <row r="179" spans="1:13">
      <c r="A179" s="101" t="s">
        <v>25</v>
      </c>
      <c r="B179" s="101">
        <f t="shared" si="89"/>
        <v>0</v>
      </c>
      <c r="C179" s="101">
        <f t="shared" si="89"/>
        <v>0</v>
      </c>
      <c r="D179" s="101">
        <f t="shared" si="89"/>
        <v>0</v>
      </c>
      <c r="E179" s="101">
        <f t="shared" si="89"/>
        <v>0</v>
      </c>
      <c r="F179" s="101">
        <f t="shared" si="89"/>
        <v>0</v>
      </c>
      <c r="G179" s="101">
        <f t="shared" si="89"/>
        <v>0</v>
      </c>
      <c r="H179" s="101">
        <f t="shared" si="89"/>
        <v>0</v>
      </c>
      <c r="I179" s="101">
        <f t="shared" si="89"/>
        <v>0</v>
      </c>
      <c r="J179" s="101">
        <f t="shared" si="89"/>
        <v>0</v>
      </c>
      <c r="K179" s="101">
        <f t="shared" si="89"/>
        <v>0</v>
      </c>
      <c r="L179" s="101">
        <f t="shared" si="89"/>
        <v>0</v>
      </c>
      <c r="M179" s="101">
        <f t="shared" si="89"/>
        <v>0</v>
      </c>
    </row>
    <row r="180" spans="1:13">
      <c r="A180" s="101" t="s">
        <v>162</v>
      </c>
      <c r="B180" s="101">
        <f t="shared" si="89"/>
        <v>1.8760575044088464E-2</v>
      </c>
      <c r="C180" s="101">
        <f t="shared" si="89"/>
        <v>2.3129684875605069E-2</v>
      </c>
      <c r="D180" s="101">
        <f t="shared" si="89"/>
        <v>1.7996843360792512E-2</v>
      </c>
      <c r="E180" s="101">
        <f t="shared" si="89"/>
        <v>2.3421118874736375E-2</v>
      </c>
      <c r="F180" s="101">
        <f t="shared" si="89"/>
        <v>1.8820992753915498E-2</v>
      </c>
      <c r="G180" s="101">
        <f t="shared" si="89"/>
        <v>3.5763857846576264E-2</v>
      </c>
      <c r="H180" s="101">
        <f t="shared" si="89"/>
        <v>3.2951145668009239E-2</v>
      </c>
      <c r="I180" s="101">
        <f t="shared" si="89"/>
        <v>2.4113222473658057E-2</v>
      </c>
      <c r="J180" s="101">
        <f t="shared" si="89"/>
        <v>0</v>
      </c>
      <c r="K180" s="101">
        <f t="shared" si="89"/>
        <v>0</v>
      </c>
      <c r="L180" s="101">
        <f t="shared" si="89"/>
        <v>0</v>
      </c>
      <c r="M180" s="101">
        <f t="shared" si="89"/>
        <v>0</v>
      </c>
    </row>
    <row r="181" spans="1:13">
      <c r="A181" s="101" t="s">
        <v>26</v>
      </c>
      <c r="B181" s="101">
        <f t="shared" si="89"/>
        <v>7.4247937869014353E-3</v>
      </c>
      <c r="C181" s="101">
        <f t="shared" si="89"/>
        <v>1.6782219643159239E-2</v>
      </c>
      <c r="D181" s="101">
        <f t="shared" si="89"/>
        <v>0</v>
      </c>
      <c r="E181" s="101">
        <f t="shared" si="89"/>
        <v>1.812658729458912E-2</v>
      </c>
      <c r="F181" s="101">
        <f t="shared" si="89"/>
        <v>1.8207945676576829E-2</v>
      </c>
      <c r="G181" s="101">
        <f t="shared" si="89"/>
        <v>7.4140583644649897E-3</v>
      </c>
      <c r="H181" s="101">
        <f t="shared" si="89"/>
        <v>1.9126706379904362E-2</v>
      </c>
      <c r="I181" s="101">
        <f t="shared" si="89"/>
        <v>7.4982195520670444E-3</v>
      </c>
      <c r="J181" s="101">
        <f t="shared" si="89"/>
        <v>0</v>
      </c>
      <c r="K181" s="101">
        <f t="shared" si="89"/>
        <v>3.5765827017563034E-2</v>
      </c>
      <c r="L181" s="101">
        <f t="shared" si="89"/>
        <v>0</v>
      </c>
      <c r="M181" s="101">
        <f t="shared" si="89"/>
        <v>0.13301369842054966</v>
      </c>
    </row>
    <row r="182" spans="1:13">
      <c r="A182" s="101" t="s">
        <v>27</v>
      </c>
      <c r="B182" s="101">
        <f t="shared" si="89"/>
        <v>8.9573504478742075E-3</v>
      </c>
      <c r="C182" s="101">
        <f t="shared" si="89"/>
        <v>8.67696379097746E-3</v>
      </c>
      <c r="D182" s="101">
        <f t="shared" si="89"/>
        <v>1.7185404238332536E-2</v>
      </c>
      <c r="E182" s="101">
        <f t="shared" si="89"/>
        <v>0</v>
      </c>
      <c r="F182" s="101">
        <f t="shared" si="89"/>
        <v>1.647469495873554E-2</v>
      </c>
      <c r="G182" s="101">
        <f t="shared" si="89"/>
        <v>8.9443991196987548E-3</v>
      </c>
      <c r="H182" s="101">
        <f t="shared" si="89"/>
        <v>1.7305996995563677E-2</v>
      </c>
      <c r="I182" s="101">
        <f t="shared" si="89"/>
        <v>9.0459320744308881E-3</v>
      </c>
      <c r="J182" s="101">
        <f t="shared" si="89"/>
        <v>6.5016993588956851E-2</v>
      </c>
      <c r="K182" s="101">
        <f t="shared" si="89"/>
        <v>0</v>
      </c>
      <c r="L182" s="101">
        <f t="shared" si="89"/>
        <v>1.108752932830909E-2</v>
      </c>
      <c r="M182" s="101">
        <f t="shared" si="89"/>
        <v>3.8823180252862146E-3</v>
      </c>
    </row>
    <row r="183" spans="1:13">
      <c r="A183" s="101" t="s">
        <v>28</v>
      </c>
      <c r="B183" s="101">
        <f t="shared" si="89"/>
        <v>0</v>
      </c>
      <c r="C183" s="101">
        <f t="shared" si="89"/>
        <v>2.8539493513308374E-2</v>
      </c>
      <c r="D183" s="101">
        <f t="shared" si="89"/>
        <v>4.5219756089656143E-2</v>
      </c>
      <c r="E183" s="101">
        <f t="shared" si="89"/>
        <v>3.7761479029738414E-2</v>
      </c>
      <c r="F183" s="101">
        <f t="shared" si="89"/>
        <v>3.5221610900158067E-2</v>
      </c>
      <c r="G183" s="101">
        <f t="shared" si="89"/>
        <v>8.8257353657227033E-3</v>
      </c>
      <c r="H183" s="101">
        <f t="shared" si="89"/>
        <v>0.29314489084021117</v>
      </c>
      <c r="I183" s="101">
        <f t="shared" si="89"/>
        <v>1.487653550130616E-2</v>
      </c>
      <c r="J183" s="101">
        <f t="shared" si="89"/>
        <v>1.5095158749772915E-2</v>
      </c>
      <c r="K183" s="101">
        <f t="shared" si="89"/>
        <v>0</v>
      </c>
      <c r="L183" s="101">
        <f t="shared" si="89"/>
        <v>0</v>
      </c>
      <c r="M183" s="101">
        <f t="shared" si="89"/>
        <v>0</v>
      </c>
    </row>
    <row r="184" spans="1:13">
      <c r="A184" s="101" t="s">
        <v>163</v>
      </c>
      <c r="B184" s="101">
        <f t="shared" si="89"/>
        <v>0</v>
      </c>
      <c r="C184" s="101">
        <f t="shared" si="89"/>
        <v>1.7533848975116813E-3</v>
      </c>
      <c r="D184" s="101">
        <f t="shared" si="89"/>
        <v>0</v>
      </c>
      <c r="E184" s="101">
        <f t="shared" si="89"/>
        <v>8.2855618763086683E-4</v>
      </c>
      <c r="F184" s="101">
        <f t="shared" si="89"/>
        <v>0</v>
      </c>
      <c r="G184" s="101">
        <f t="shared" si="89"/>
        <v>6.3259927655068167E-3</v>
      </c>
      <c r="H184" s="101">
        <f t="shared" si="89"/>
        <v>8.7427107279035971E-4</v>
      </c>
      <c r="I184" s="101">
        <f t="shared" si="89"/>
        <v>9.1397181464075771E-4</v>
      </c>
      <c r="J184" s="101">
        <f t="shared" si="89"/>
        <v>0</v>
      </c>
      <c r="K184" s="101">
        <f t="shared" si="89"/>
        <v>0</v>
      </c>
      <c r="L184" s="101">
        <f t="shared" si="89"/>
        <v>0</v>
      </c>
      <c r="M184" s="101">
        <f t="shared" si="89"/>
        <v>0</v>
      </c>
    </row>
    <row r="185" spans="1:13">
      <c r="A185" s="101" t="s">
        <v>164</v>
      </c>
      <c r="B185" s="101">
        <f t="shared" si="89"/>
        <v>0</v>
      </c>
      <c r="C185" s="101">
        <f t="shared" si="89"/>
        <v>0</v>
      </c>
      <c r="D185" s="101">
        <f t="shared" si="89"/>
        <v>0</v>
      </c>
      <c r="E185" s="101">
        <f t="shared" si="89"/>
        <v>0</v>
      </c>
      <c r="F185" s="101">
        <f t="shared" si="89"/>
        <v>1.3655764453374799E-3</v>
      </c>
      <c r="G185" s="101">
        <f t="shared" si="89"/>
        <v>1.4827905203891405E-3</v>
      </c>
      <c r="H185" s="101">
        <f t="shared" si="89"/>
        <v>5.7379300604754376E-3</v>
      </c>
      <c r="I185" s="101">
        <f t="shared" si="89"/>
        <v>1.4996225177954657E-3</v>
      </c>
      <c r="J185" s="101">
        <f t="shared" si="89"/>
        <v>0</v>
      </c>
      <c r="K185" s="101">
        <f t="shared" si="89"/>
        <v>0</v>
      </c>
      <c r="L185" s="101">
        <f t="shared" si="89"/>
        <v>0</v>
      </c>
      <c r="M185" s="101">
        <f t="shared" si="89"/>
        <v>0</v>
      </c>
    </row>
    <row r="186" spans="1:13">
      <c r="A186" s="101" t="s">
        <v>153</v>
      </c>
      <c r="B186" s="101">
        <f t="shared" si="89"/>
        <v>5.8439640079920342E-2</v>
      </c>
      <c r="C186" s="101">
        <f t="shared" si="89"/>
        <v>5.6610338501556098E-2</v>
      </c>
      <c r="D186" s="101">
        <f t="shared" si="89"/>
        <v>0.13314391933648134</v>
      </c>
      <c r="E186" s="101">
        <f t="shared" si="89"/>
        <v>0.21400821378538062</v>
      </c>
      <c r="F186" s="101">
        <f t="shared" si="89"/>
        <v>8.0613283700718047E-2</v>
      </c>
      <c r="G186" s="101">
        <f t="shared" si="89"/>
        <v>8.0238321471423915E-2</v>
      </c>
      <c r="H186" s="101">
        <f t="shared" si="89"/>
        <v>2.822699194171149E-2</v>
      </c>
      <c r="I186" s="101">
        <f t="shared" si="89"/>
        <v>8.8526347890509421E-2</v>
      </c>
      <c r="J186" s="101">
        <f t="shared" si="89"/>
        <v>0</v>
      </c>
      <c r="K186" s="101">
        <f t="shared" si="89"/>
        <v>0</v>
      </c>
      <c r="L186" s="101">
        <f t="shared" si="89"/>
        <v>0</v>
      </c>
      <c r="M186" s="101">
        <f t="shared" si="89"/>
        <v>0</v>
      </c>
    </row>
    <row r="187" spans="1:13">
      <c r="A187" s="101" t="s">
        <v>154</v>
      </c>
      <c r="B187" s="101">
        <f t="shared" si="89"/>
        <v>3.9152086090214616E-3</v>
      </c>
      <c r="C187" s="101">
        <f t="shared" si="89"/>
        <v>3.7926531436162409E-3</v>
      </c>
      <c r="D187" s="101">
        <f t="shared" si="89"/>
        <v>3.7558228303661866E-3</v>
      </c>
      <c r="E187" s="101">
        <f t="shared" si="89"/>
        <v>3.5844111970400492E-3</v>
      </c>
      <c r="F187" s="101">
        <f t="shared" si="89"/>
        <v>3.6004992720113844E-3</v>
      </c>
      <c r="G187" s="101">
        <f t="shared" si="89"/>
        <v>3.9095476547174107E-3</v>
      </c>
      <c r="H187" s="101">
        <f t="shared" si="89"/>
        <v>3.7821780457864477E-3</v>
      </c>
      <c r="I187" s="101">
        <f t="shared" si="89"/>
        <v>3.9539271507279721E-3</v>
      </c>
      <c r="J187" s="101">
        <f t="shared" si="89"/>
        <v>0</v>
      </c>
      <c r="K187" s="101">
        <f t="shared" si="89"/>
        <v>0</v>
      </c>
      <c r="L187" s="101">
        <f t="shared" si="89"/>
        <v>0</v>
      </c>
      <c r="M187" s="101">
        <f t="shared" si="89"/>
        <v>0</v>
      </c>
    </row>
    <row r="188" spans="1:13">
      <c r="A188" s="101" t="s">
        <v>158</v>
      </c>
      <c r="B188" s="101">
        <f t="shared" ref="B188:M188" si="90">SUM(B171:B187)</f>
        <v>28.075529499978305</v>
      </c>
      <c r="C188" s="101">
        <f t="shared" si="90"/>
        <v>28.109785018732115</v>
      </c>
      <c r="D188" s="101">
        <f t="shared" si="90"/>
        <v>28.295007315018953</v>
      </c>
      <c r="E188" s="101">
        <f t="shared" si="90"/>
        <v>28.245945840410492</v>
      </c>
      <c r="F188" s="101">
        <f t="shared" si="90"/>
        <v>28.157681496492412</v>
      </c>
      <c r="G188" s="101">
        <f t="shared" si="90"/>
        <v>28.103512984965434</v>
      </c>
      <c r="H188" s="101">
        <f t="shared" si="90"/>
        <v>28.380349537065463</v>
      </c>
      <c r="I188" s="101">
        <f t="shared" si="90"/>
        <v>28.085677538096402</v>
      </c>
      <c r="J188" s="101">
        <f t="shared" si="90"/>
        <v>28.068796772910737</v>
      </c>
      <c r="K188" s="101">
        <f t="shared" si="90"/>
        <v>28.044093728685979</v>
      </c>
      <c r="L188" s="101">
        <f t="shared" si="90"/>
        <v>28.185707085560431</v>
      </c>
      <c r="M188" s="101">
        <f t="shared" si="90"/>
        <v>28.074515888297817</v>
      </c>
    </row>
    <row r="189" spans="1:13">
      <c r="A189" s="101" t="s">
        <v>187</v>
      </c>
      <c r="B189" s="101">
        <f t="shared" ref="B189:M189" si="91">B25/B188</f>
        <v>0.99730977469264248</v>
      </c>
      <c r="C189" s="101">
        <f t="shared" si="91"/>
        <v>0.99609441983782676</v>
      </c>
      <c r="D189" s="101">
        <f t="shared" si="91"/>
        <v>0.98957387387341778</v>
      </c>
      <c r="E189" s="101">
        <f t="shared" si="91"/>
        <v>0.99129270296699978</v>
      </c>
      <c r="F189" s="101">
        <f t="shared" si="91"/>
        <v>0.99440005397773767</v>
      </c>
      <c r="G189" s="101">
        <f t="shared" si="91"/>
        <v>0.99631672435325758</v>
      </c>
      <c r="H189" s="101">
        <f t="shared" si="91"/>
        <v>0.98659813768083737</v>
      </c>
      <c r="I189" s="101">
        <f t="shared" si="91"/>
        <v>0.99694942242428775</v>
      </c>
      <c r="J189" s="101">
        <f t="shared" si="91"/>
        <v>0.99754899458400959</v>
      </c>
      <c r="K189" s="101">
        <f t="shared" si="91"/>
        <v>0.99842769999585057</v>
      </c>
      <c r="L189" s="101">
        <f t="shared" si="91"/>
        <v>0.9934113029346151</v>
      </c>
      <c r="M189" s="101">
        <f t="shared" si="91"/>
        <v>0.99734578189720891</v>
      </c>
    </row>
    <row r="191" spans="1:13">
      <c r="A191" s="101" t="s">
        <v>188</v>
      </c>
    </row>
    <row r="192" spans="1:13">
      <c r="A192" s="101" t="s">
        <v>18</v>
      </c>
      <c r="B192" s="101">
        <f t="shared" ref="B192:M193" si="92">(B171*B$189)/2</f>
        <v>5.348860031700494</v>
      </c>
      <c r="C192" s="101">
        <f t="shared" si="92"/>
        <v>5.5963437349144698</v>
      </c>
      <c r="D192" s="101">
        <f t="shared" si="92"/>
        <v>5.4837929080590726</v>
      </c>
      <c r="E192" s="101">
        <f t="shared" si="92"/>
        <v>5.8337387507788669</v>
      </c>
      <c r="F192" s="101">
        <f t="shared" si="92"/>
        <v>5.8888524328135743</v>
      </c>
      <c r="G192" s="101">
        <f t="shared" si="92"/>
        <v>5.4047459490406453</v>
      </c>
      <c r="H192" s="101">
        <f t="shared" si="92"/>
        <v>5.886507465605507</v>
      </c>
      <c r="I192" s="101">
        <f t="shared" si="92"/>
        <v>5.3463181125393682</v>
      </c>
      <c r="J192" s="101">
        <f t="shared" si="92"/>
        <v>5.4383807309820478</v>
      </c>
      <c r="K192" s="101">
        <f t="shared" si="92"/>
        <v>5.3364179563595417</v>
      </c>
      <c r="L192" s="101">
        <f t="shared" si="92"/>
        <v>5.737261229595819</v>
      </c>
      <c r="M192" s="101">
        <f t="shared" si="92"/>
        <v>5.6552197427256026</v>
      </c>
    </row>
    <row r="193" spans="1:13">
      <c r="A193" s="101" t="s">
        <v>20</v>
      </c>
      <c r="B193" s="101">
        <f t="shared" si="92"/>
        <v>1.2126975014710351E-2</v>
      </c>
      <c r="C193" s="101">
        <f t="shared" si="92"/>
        <v>2.3466111464670078E-2</v>
      </c>
      <c r="D193" s="101">
        <f t="shared" si="92"/>
        <v>1.9788096726982479E-2</v>
      </c>
      <c r="E193" s="101">
        <f t="shared" si="92"/>
        <v>1.5764826475706119E-2</v>
      </c>
      <c r="F193" s="101">
        <f t="shared" si="92"/>
        <v>1.588522340011491E-2</v>
      </c>
      <c r="G193" s="101">
        <f t="shared" si="92"/>
        <v>1.2097383041221632E-2</v>
      </c>
      <c r="H193" s="101">
        <f t="shared" si="92"/>
        <v>2.4833788608814137E-2</v>
      </c>
      <c r="I193" s="101">
        <f t="shared" si="92"/>
        <v>1.2242476800205536E-2</v>
      </c>
      <c r="J193" s="101">
        <f t="shared" si="92"/>
        <v>3.2554398491709276E-2</v>
      </c>
      <c r="K193" s="101">
        <f t="shared" si="92"/>
        <v>0.13785064683602721</v>
      </c>
      <c r="L193" s="101">
        <f t="shared" si="92"/>
        <v>0</v>
      </c>
      <c r="M193" s="101">
        <f t="shared" si="92"/>
        <v>1.3516186321635417E-2</v>
      </c>
    </row>
    <row r="194" spans="1:13">
      <c r="A194" s="101" t="s">
        <v>177</v>
      </c>
      <c r="B194" s="101">
        <f t="shared" ref="B194:M196" si="93">(B173*B$189)/1.5</f>
        <v>5.3407930626279985</v>
      </c>
      <c r="C194" s="101">
        <f t="shared" si="93"/>
        <v>4.9177436486056214</v>
      </c>
      <c r="D194" s="101">
        <f t="shared" si="93"/>
        <v>5.5255743577593401</v>
      </c>
      <c r="E194" s="101">
        <f t="shared" si="93"/>
        <v>4.4523667379499257</v>
      </c>
      <c r="F194" s="101">
        <f t="shared" si="93"/>
        <v>4.4241281960810817</v>
      </c>
      <c r="G194" s="101">
        <f t="shared" si="93"/>
        <v>5.2492119987603347</v>
      </c>
      <c r="H194" s="101">
        <f t="shared" si="93"/>
        <v>5.0572044128239089</v>
      </c>
      <c r="I194" s="101">
        <f t="shared" si="93"/>
        <v>5.2737952601896438</v>
      </c>
      <c r="J194" s="101">
        <f t="shared" si="93"/>
        <v>5.213510463968098</v>
      </c>
      <c r="K194" s="101">
        <f t="shared" si="93"/>
        <v>5.2024035940071824</v>
      </c>
      <c r="L194" s="101">
        <f t="shared" si="93"/>
        <v>4.0731203060133812</v>
      </c>
      <c r="M194" s="101">
        <f t="shared" si="93"/>
        <v>4.4791684655175645</v>
      </c>
    </row>
    <row r="195" spans="1:13">
      <c r="A195" s="101" t="s">
        <v>21</v>
      </c>
      <c r="B195" s="101">
        <f t="shared" si="93"/>
        <v>0</v>
      </c>
      <c r="C195" s="101">
        <f t="shared" si="93"/>
        <v>0</v>
      </c>
      <c r="D195" s="101">
        <f t="shared" si="93"/>
        <v>0</v>
      </c>
      <c r="E195" s="101">
        <f t="shared" si="93"/>
        <v>0</v>
      </c>
      <c r="F195" s="101">
        <f t="shared" si="93"/>
        <v>0</v>
      </c>
      <c r="G195" s="101">
        <f t="shared" si="93"/>
        <v>0</v>
      </c>
      <c r="H195" s="101">
        <f t="shared" si="93"/>
        <v>0</v>
      </c>
      <c r="I195" s="101">
        <f t="shared" si="93"/>
        <v>0</v>
      </c>
      <c r="J195" s="101">
        <f t="shared" si="93"/>
        <v>0</v>
      </c>
      <c r="K195" s="101">
        <f t="shared" si="93"/>
        <v>0</v>
      </c>
      <c r="L195" s="101">
        <f t="shared" si="93"/>
        <v>0</v>
      </c>
      <c r="M195" s="101">
        <f t="shared" si="93"/>
        <v>0</v>
      </c>
    </row>
    <row r="196" spans="1:13">
      <c r="A196" s="101" t="s">
        <v>51</v>
      </c>
      <c r="B196" s="101">
        <f t="shared" si="93"/>
        <v>7.9532263958030647E-2</v>
      </c>
      <c r="C196" s="101">
        <f t="shared" si="93"/>
        <v>0.12147430071550958</v>
      </c>
      <c r="D196" s="101">
        <f t="shared" si="93"/>
        <v>0.38663613864481144</v>
      </c>
      <c r="E196" s="101">
        <f t="shared" si="93"/>
        <v>0.23447797386807734</v>
      </c>
      <c r="F196" s="101">
        <f t="shared" si="93"/>
        <v>0.17709004828546168</v>
      </c>
      <c r="G196" s="101">
        <f t="shared" si="93"/>
        <v>0.10324349571250109</v>
      </c>
      <c r="H196" s="101">
        <f t="shared" si="93"/>
        <v>0.4069728034827928</v>
      </c>
      <c r="I196" s="101">
        <f t="shared" si="93"/>
        <v>5.3289649416317413E-2</v>
      </c>
      <c r="J196" s="101">
        <f t="shared" si="93"/>
        <v>5.7340506276001173E-2</v>
      </c>
      <c r="K196" s="101">
        <f t="shared" si="93"/>
        <v>8.8048800232348956E-2</v>
      </c>
      <c r="L196" s="101">
        <f t="shared" si="93"/>
        <v>0</v>
      </c>
      <c r="M196" s="101">
        <f t="shared" si="93"/>
        <v>0</v>
      </c>
    </row>
    <row r="197" spans="1:13">
      <c r="A197" s="101" t="s">
        <v>52</v>
      </c>
      <c r="B197" s="101">
        <f t="shared" ref="B197:M202" si="94">B176*B$189</f>
        <v>7.7286699744279366</v>
      </c>
      <c r="C197" s="101">
        <f t="shared" si="94"/>
        <v>6.6092312038714285</v>
      </c>
      <c r="D197" s="101">
        <f t="shared" si="94"/>
        <v>6.007689254106678</v>
      </c>
      <c r="E197" s="101">
        <f t="shared" si="94"/>
        <v>3.8239719996484816</v>
      </c>
      <c r="F197" s="101">
        <f t="shared" si="94"/>
        <v>3.8929230646411814</v>
      </c>
      <c r="G197" s="101">
        <f t="shared" si="94"/>
        <v>7.2650260932038817</v>
      </c>
      <c r="H197" s="101">
        <f t="shared" si="94"/>
        <v>6.0312701334927041</v>
      </c>
      <c r="I197" s="101">
        <f t="shared" si="94"/>
        <v>7.2302598918500154</v>
      </c>
      <c r="J197" s="101">
        <f t="shared" si="94"/>
        <v>1.9354018156190127</v>
      </c>
      <c r="K197" s="101">
        <f t="shared" si="94"/>
        <v>4.2738990349396051</v>
      </c>
      <c r="L197" s="101">
        <f t="shared" si="94"/>
        <v>1.1861271751919669</v>
      </c>
      <c r="M197" s="101">
        <f t="shared" si="94"/>
        <v>2.7311151289056688</v>
      </c>
    </row>
    <row r="198" spans="1:13">
      <c r="A198" s="101" t="s">
        <v>23</v>
      </c>
      <c r="B198" s="101">
        <f t="shared" si="94"/>
        <v>0.5970785430840132</v>
      </c>
      <c r="C198" s="101">
        <f t="shared" si="94"/>
        <v>0.20766407594243158</v>
      </c>
      <c r="D198" s="101">
        <f t="shared" si="94"/>
        <v>0.1727274343919612</v>
      </c>
      <c r="E198" s="101">
        <f t="shared" si="94"/>
        <v>0.21129623148246596</v>
      </c>
      <c r="F198" s="101">
        <f t="shared" si="94"/>
        <v>0.21290991346297231</v>
      </c>
      <c r="G198" s="101">
        <f t="shared" si="94"/>
        <v>0.31922201542339951</v>
      </c>
      <c r="H198" s="101">
        <f t="shared" si="94"/>
        <v>0.2610570053361479</v>
      </c>
      <c r="I198" s="101">
        <f t="shared" si="94"/>
        <v>0.36244713223629971</v>
      </c>
      <c r="J198" s="101">
        <f t="shared" si="94"/>
        <v>3.3332860541399533E-3</v>
      </c>
      <c r="K198" s="101">
        <f t="shared" si="94"/>
        <v>6.1751821942510651E-2</v>
      </c>
      <c r="L198" s="101">
        <f t="shared" si="94"/>
        <v>0</v>
      </c>
      <c r="M198" s="101">
        <f t="shared" si="94"/>
        <v>1.5223333621351424E-2</v>
      </c>
    </row>
    <row r="199" spans="1:13">
      <c r="A199" s="101" t="s">
        <v>24</v>
      </c>
      <c r="B199" s="101">
        <f t="shared" si="94"/>
        <v>0.72455420163553996</v>
      </c>
      <c r="C199" s="101">
        <f t="shared" si="94"/>
        <v>2.245917352791484</v>
      </c>
      <c r="D199" s="101">
        <f t="shared" si="94"/>
        <v>1.729069426877204</v>
      </c>
      <c r="E199" s="101">
        <f t="shared" si="94"/>
        <v>4.9403196069995063</v>
      </c>
      <c r="F199" s="101">
        <f t="shared" si="94"/>
        <v>5.0095358355833968</v>
      </c>
      <c r="G199" s="101">
        <f t="shared" si="94"/>
        <v>1.4010404725604626</v>
      </c>
      <c r="H199" s="101">
        <f t="shared" si="94"/>
        <v>1.2929505758350026</v>
      </c>
      <c r="I199" s="101">
        <f t="shared" si="94"/>
        <v>1.5495755454597608</v>
      </c>
      <c r="J199" s="101">
        <f t="shared" si="94"/>
        <v>7.1332023869937222</v>
      </c>
      <c r="K199" s="101">
        <f t="shared" si="94"/>
        <v>4.7444237529598512</v>
      </c>
      <c r="L199" s="101">
        <f t="shared" si="94"/>
        <v>9.218655429639961</v>
      </c>
      <c r="M199" s="101">
        <f t="shared" si="94"/>
        <v>7.0609043165413734</v>
      </c>
    </row>
    <row r="200" spans="1:13">
      <c r="A200" s="101" t="s">
        <v>25</v>
      </c>
      <c r="B200" s="101">
        <f t="shared" si="94"/>
        <v>0</v>
      </c>
      <c r="C200" s="101">
        <f t="shared" si="94"/>
        <v>0</v>
      </c>
      <c r="D200" s="101">
        <f t="shared" si="94"/>
        <v>0</v>
      </c>
      <c r="E200" s="101">
        <f t="shared" si="94"/>
        <v>0</v>
      </c>
      <c r="F200" s="101">
        <f t="shared" si="94"/>
        <v>0</v>
      </c>
      <c r="G200" s="101">
        <f t="shared" si="94"/>
        <v>0</v>
      </c>
      <c r="H200" s="101">
        <f t="shared" si="94"/>
        <v>0</v>
      </c>
      <c r="I200" s="101">
        <f t="shared" si="94"/>
        <v>0</v>
      </c>
      <c r="J200" s="101">
        <f t="shared" si="94"/>
        <v>0</v>
      </c>
      <c r="K200" s="101">
        <f t="shared" si="94"/>
        <v>0</v>
      </c>
      <c r="L200" s="101">
        <f t="shared" si="94"/>
        <v>0</v>
      </c>
      <c r="M200" s="101">
        <f t="shared" si="94"/>
        <v>0</v>
      </c>
    </row>
    <row r="201" spans="1:13">
      <c r="A201" s="101" t="s">
        <v>162</v>
      </c>
      <c r="B201" s="101">
        <f t="shared" si="94"/>
        <v>1.8710104870324276E-2</v>
      </c>
      <c r="C201" s="101">
        <f t="shared" si="94"/>
        <v>2.3039350037197585E-2</v>
      </c>
      <c r="D201" s="101">
        <f t="shared" si="94"/>
        <v>1.7809206002032545E-2</v>
      </c>
      <c r="E201" s="101">
        <f t="shared" si="94"/>
        <v>2.3217184235848839E-2</v>
      </c>
      <c r="F201" s="101">
        <f t="shared" si="94"/>
        <v>1.8715596210408181E-2</v>
      </c>
      <c r="G201" s="101">
        <f t="shared" si="94"/>
        <v>3.5632129699936413E-2</v>
      </c>
      <c r="H201" s="101">
        <f t="shared" si="94"/>
        <v>3.2509538950507906E-2</v>
      </c>
      <c r="I201" s="101">
        <f t="shared" si="94"/>
        <v>2.4039663217901755E-2</v>
      </c>
      <c r="J201" s="101">
        <f t="shared" si="94"/>
        <v>0</v>
      </c>
      <c r="K201" s="101">
        <f t="shared" si="94"/>
        <v>0</v>
      </c>
      <c r="L201" s="101">
        <f t="shared" si="94"/>
        <v>0</v>
      </c>
      <c r="M201" s="101">
        <f t="shared" si="94"/>
        <v>0</v>
      </c>
    </row>
    <row r="202" spans="1:13">
      <c r="A202" s="101" t="s">
        <v>26</v>
      </c>
      <c r="B202" s="101">
        <f t="shared" si="94"/>
        <v>7.4048194187540019E-3</v>
      </c>
      <c r="C202" s="101">
        <f t="shared" si="94"/>
        <v>1.6716675339043682E-2</v>
      </c>
      <c r="D202" s="101">
        <f t="shared" si="94"/>
        <v>0</v>
      </c>
      <c r="E202" s="101">
        <f t="shared" si="94"/>
        <v>1.7968753714820526E-2</v>
      </c>
      <c r="F202" s="101">
        <f t="shared" si="94"/>
        <v>1.8105982163611714E-2</v>
      </c>
      <c r="G202" s="101">
        <f t="shared" si="94"/>
        <v>7.3867503438476293E-3</v>
      </c>
      <c r="H202" s="101">
        <f t="shared" si="94"/>
        <v>1.8870372894381832E-2</v>
      </c>
      <c r="I202" s="101">
        <f t="shared" si="94"/>
        <v>7.4753456516437411E-3</v>
      </c>
      <c r="J202" s="101">
        <f t="shared" si="94"/>
        <v>0</v>
      </c>
      <c r="K202" s="101">
        <f t="shared" si="94"/>
        <v>3.5709592407594914E-2</v>
      </c>
      <c r="L202" s="101">
        <f t="shared" si="94"/>
        <v>0</v>
      </c>
      <c r="M202" s="101">
        <f t="shared" si="94"/>
        <v>0.13266065105428265</v>
      </c>
    </row>
    <row r="203" spans="1:13">
      <c r="A203" s="101" t="s">
        <v>27</v>
      </c>
      <c r="B203" s="101">
        <f t="shared" ref="B203:M208" si="95">(B182*B$189)/0.5</f>
        <v>1.7866506314024932E-2</v>
      </c>
      <c r="C203" s="101">
        <f t="shared" si="95"/>
        <v>1.7286150426655045E-2</v>
      </c>
      <c r="D203" s="101">
        <f t="shared" si="95"/>
        <v>3.4012454092414761E-2</v>
      </c>
      <c r="E203" s="101">
        <f t="shared" si="95"/>
        <v>0</v>
      </c>
      <c r="F203" s="101">
        <f t="shared" si="95"/>
        <v>3.2764875112466771E-2</v>
      </c>
      <c r="G203" s="101">
        <f t="shared" si="95"/>
        <v>1.7822908864492847E-2</v>
      </c>
      <c r="H203" s="101">
        <f t="shared" si="95"/>
        <v>3.4148128813066579E-2</v>
      </c>
      <c r="I203" s="101">
        <f t="shared" si="95"/>
        <v>1.8036673513786426E-2</v>
      </c>
      <c r="J203" s="101">
        <f t="shared" si="95"/>
        <v>0.12971527317107781</v>
      </c>
      <c r="K203" s="101">
        <f t="shared" si="95"/>
        <v>0</v>
      </c>
      <c r="L203" s="101">
        <f t="shared" si="95"/>
        <v>2.2028953912722582E-2</v>
      </c>
      <c r="M203" s="101">
        <f t="shared" si="95"/>
        <v>7.7440270130054159E-3</v>
      </c>
    </row>
    <row r="204" spans="1:13">
      <c r="A204" s="101" t="s">
        <v>28</v>
      </c>
      <c r="B204" s="101">
        <f t="shared" si="95"/>
        <v>0</v>
      </c>
      <c r="C204" s="101">
        <f t="shared" si="95"/>
        <v>5.6856060467208647E-2</v>
      </c>
      <c r="D204" s="101">
        <f t="shared" si="95"/>
        <v>8.9496578418504211E-2</v>
      </c>
      <c r="E204" s="101">
        <f t="shared" si="95"/>
        <v>7.4865357230842144E-2</v>
      </c>
      <c r="F204" s="101">
        <f t="shared" si="95"/>
        <v>7.0048743560600105E-2</v>
      </c>
      <c r="G204" s="101">
        <f t="shared" si="95"/>
        <v>1.7586455499171087E-2</v>
      </c>
      <c r="H204" s="101">
        <f t="shared" si="95"/>
        <v>0.57843240674720942</v>
      </c>
      <c r="I204" s="101">
        <f t="shared" si="95"/>
        <v>2.9662306951403174E-2</v>
      </c>
      <c r="J204" s="101">
        <f t="shared" si="95"/>
        <v>3.0116320867843972E-2</v>
      </c>
      <c r="K204" s="101">
        <f t="shared" si="95"/>
        <v>0</v>
      </c>
      <c r="L204" s="101">
        <f t="shared" si="95"/>
        <v>0</v>
      </c>
      <c r="M204" s="101">
        <f t="shared" si="95"/>
        <v>0</v>
      </c>
    </row>
    <row r="205" spans="1:13">
      <c r="A205" s="101" t="s">
        <v>163</v>
      </c>
      <c r="B205" s="101">
        <f t="shared" si="95"/>
        <v>0</v>
      </c>
      <c r="C205" s="101">
        <f t="shared" si="95"/>
        <v>3.493073824478611E-3</v>
      </c>
      <c r="D205" s="101">
        <f t="shared" si="95"/>
        <v>0</v>
      </c>
      <c r="E205" s="101">
        <f t="shared" si="95"/>
        <v>1.6426834055932693E-3</v>
      </c>
      <c r="F205" s="101">
        <f t="shared" si="95"/>
        <v>0</v>
      </c>
      <c r="G205" s="101">
        <f t="shared" si="95"/>
        <v>1.2605384780824314E-2</v>
      </c>
      <c r="H205" s="101">
        <f t="shared" si="95"/>
        <v>1.7251084244863935E-3</v>
      </c>
      <c r="I205" s="101">
        <f t="shared" si="95"/>
        <v>1.8223673454363632E-3</v>
      </c>
      <c r="J205" s="101">
        <f t="shared" si="95"/>
        <v>0</v>
      </c>
      <c r="K205" s="101">
        <f t="shared" si="95"/>
        <v>0</v>
      </c>
      <c r="L205" s="101">
        <f t="shared" si="95"/>
        <v>0</v>
      </c>
      <c r="M205" s="101">
        <f t="shared" si="95"/>
        <v>0</v>
      </c>
    </row>
    <row r="206" spans="1:13">
      <c r="A206" s="101" t="s">
        <v>164</v>
      </c>
      <c r="B206" s="101">
        <f t="shared" si="95"/>
        <v>0</v>
      </c>
      <c r="C206" s="101">
        <f t="shared" si="95"/>
        <v>0</v>
      </c>
      <c r="D206" s="101">
        <f t="shared" si="95"/>
        <v>0</v>
      </c>
      <c r="E206" s="101">
        <f t="shared" si="95"/>
        <v>0</v>
      </c>
      <c r="F206" s="101">
        <f t="shared" si="95"/>
        <v>2.7158585819086344E-3</v>
      </c>
      <c r="G206" s="101">
        <f t="shared" si="95"/>
        <v>2.9546579883523412E-3</v>
      </c>
      <c r="H206" s="101">
        <f t="shared" si="95"/>
        <v>1.1322062223615923E-2</v>
      </c>
      <c r="I206" s="101">
        <f t="shared" si="95"/>
        <v>2.9900956059412914E-3</v>
      </c>
      <c r="J206" s="101">
        <f t="shared" si="95"/>
        <v>0</v>
      </c>
      <c r="K206" s="101">
        <f t="shared" si="95"/>
        <v>0</v>
      </c>
      <c r="L206" s="101">
        <f t="shared" si="95"/>
        <v>0</v>
      </c>
      <c r="M206" s="101">
        <f t="shared" si="95"/>
        <v>0</v>
      </c>
    </row>
    <row r="207" spans="1:13">
      <c r="A207" s="101" t="s">
        <v>153</v>
      </c>
      <c r="B207" s="101">
        <f t="shared" si="95"/>
        <v>0.11656484856244895</v>
      </c>
      <c r="C207" s="101">
        <f t="shared" si="95"/>
        <v>0.11277848457306101</v>
      </c>
      <c r="D207" s="101">
        <f t="shared" si="95"/>
        <v>0.2635114880809834</v>
      </c>
      <c r="E207" s="101">
        <f t="shared" si="95"/>
        <v>0.42428956140089902</v>
      </c>
      <c r="F207" s="101">
        <f t="shared" si="95"/>
        <v>0.16032370732663342</v>
      </c>
      <c r="G207" s="101">
        <f t="shared" si="95"/>
        <v>0.15988556323202546</v>
      </c>
      <c r="H207" s="101">
        <f t="shared" si="95"/>
        <v>5.5697395364049121E-2</v>
      </c>
      <c r="I207" s="101">
        <f t="shared" si="95"/>
        <v>0.17651258279754986</v>
      </c>
      <c r="J207" s="101">
        <f t="shared" si="95"/>
        <v>0</v>
      </c>
      <c r="K207" s="101">
        <f t="shared" si="95"/>
        <v>0</v>
      </c>
      <c r="L207" s="101">
        <f t="shared" si="95"/>
        <v>0</v>
      </c>
      <c r="M207" s="101">
        <f t="shared" si="95"/>
        <v>0</v>
      </c>
    </row>
    <row r="208" spans="1:13">
      <c r="A208" s="101" t="s">
        <v>154</v>
      </c>
      <c r="B208" s="101">
        <f t="shared" si="95"/>
        <v>7.8093516314757761E-3</v>
      </c>
      <c r="C208" s="101">
        <f t="shared" si="95"/>
        <v>7.5556812654730583E-3</v>
      </c>
      <c r="D208" s="101">
        <f t="shared" si="95"/>
        <v>7.4333282956553833E-3</v>
      </c>
      <c r="E208" s="101">
        <f t="shared" si="95"/>
        <v>7.1064013281180189E-3</v>
      </c>
      <c r="F208" s="101">
        <f t="shared" si="95"/>
        <v>7.1606733408698517E-3</v>
      </c>
      <c r="G208" s="101">
        <f t="shared" si="95"/>
        <v>7.7902954261020226E-3</v>
      </c>
      <c r="H208" s="101">
        <f t="shared" si="95"/>
        <v>7.4629796327005168E-3</v>
      </c>
      <c r="I208" s="101">
        <f t="shared" si="95"/>
        <v>7.883730778451923E-3</v>
      </c>
      <c r="J208" s="101">
        <f t="shared" si="95"/>
        <v>0</v>
      </c>
      <c r="K208" s="101">
        <f t="shared" si="95"/>
        <v>0</v>
      </c>
      <c r="L208" s="101">
        <f t="shared" si="95"/>
        <v>0</v>
      </c>
      <c r="M208" s="101">
        <f t="shared" si="95"/>
        <v>0</v>
      </c>
    </row>
    <row r="209" spans="1:13">
      <c r="A209" s="101" t="s">
        <v>165</v>
      </c>
      <c r="B209" s="101">
        <f t="shared" ref="B209:M209" si="96">16-(B207+B208)</f>
        <v>15.875625799806075</v>
      </c>
      <c r="C209" s="101">
        <f t="shared" si="96"/>
        <v>15.879665834161466</v>
      </c>
      <c r="D209" s="101">
        <f t="shared" si="96"/>
        <v>15.729055183623361</v>
      </c>
      <c r="E209" s="101">
        <f t="shared" si="96"/>
        <v>15.568604037270983</v>
      </c>
      <c r="F209" s="101">
        <f t="shared" si="96"/>
        <v>15.832515619332497</v>
      </c>
      <c r="G209" s="101">
        <f t="shared" si="96"/>
        <v>15.832324141341873</v>
      </c>
      <c r="H209" s="101">
        <f t="shared" si="96"/>
        <v>15.93683962500325</v>
      </c>
      <c r="I209" s="101">
        <f t="shared" si="96"/>
        <v>15.815603686423998</v>
      </c>
      <c r="J209" s="101">
        <f t="shared" si="96"/>
        <v>16</v>
      </c>
      <c r="K209" s="101">
        <f t="shared" si="96"/>
        <v>16</v>
      </c>
      <c r="L209" s="101">
        <f t="shared" si="96"/>
        <v>16</v>
      </c>
      <c r="M209" s="101">
        <f t="shared" si="96"/>
        <v>16</v>
      </c>
    </row>
    <row r="210" spans="1:13">
      <c r="A210" s="101" t="s">
        <v>158</v>
      </c>
      <c r="B210" s="101">
        <f t="shared" ref="B210:M210" si="97">SUM(B192:B209)</f>
        <v>35.875596483051822</v>
      </c>
      <c r="C210" s="101">
        <f t="shared" si="97"/>
        <v>35.839231738400201</v>
      </c>
      <c r="D210" s="101">
        <f t="shared" si="97"/>
        <v>35.466595855078999</v>
      </c>
      <c r="E210" s="101">
        <f t="shared" si="97"/>
        <v>35.629630105790142</v>
      </c>
      <c r="F210" s="101">
        <f t="shared" si="97"/>
        <v>35.763675769896778</v>
      </c>
      <c r="G210" s="101">
        <f t="shared" si="97"/>
        <v>35.84857569491907</v>
      </c>
      <c r="H210" s="101">
        <f t="shared" si="97"/>
        <v>35.637803803238143</v>
      </c>
      <c r="I210" s="101">
        <f t="shared" si="97"/>
        <v>35.911954520777726</v>
      </c>
      <c r="J210" s="101">
        <f t="shared" si="97"/>
        <v>35.973555182423652</v>
      </c>
      <c r="K210" s="101">
        <f t="shared" si="97"/>
        <v>35.880505199684663</v>
      </c>
      <c r="L210" s="101">
        <f t="shared" si="97"/>
        <v>36.237193094353849</v>
      </c>
      <c r="M210" s="101">
        <f t="shared" si="97"/>
        <v>36.095551851700485</v>
      </c>
    </row>
    <row r="212" spans="1:13">
      <c r="A212" s="101" t="s">
        <v>189</v>
      </c>
      <c r="B212" s="101">
        <f t="shared" ref="B212:M212" si="98">B10*B197/(B197+B196)</f>
        <v>40.117172237628246</v>
      </c>
      <c r="C212" s="101">
        <f t="shared" si="98"/>
        <v>35.458294618469381</v>
      </c>
      <c r="D212" s="101">
        <f t="shared" si="98"/>
        <v>32.761567706293526</v>
      </c>
      <c r="E212" s="101">
        <f t="shared" si="98"/>
        <v>21.812502893846784</v>
      </c>
      <c r="F212" s="101">
        <f t="shared" si="98"/>
        <v>22.037508214521914</v>
      </c>
      <c r="G212" s="101">
        <f t="shared" si="98"/>
        <v>37.802783550757752</v>
      </c>
      <c r="H212" s="101">
        <f t="shared" si="98"/>
        <v>32.759484013400872</v>
      </c>
      <c r="I212" s="101">
        <f t="shared" si="98"/>
        <v>37.175999341483973</v>
      </c>
      <c r="J212" s="101">
        <f t="shared" si="98"/>
        <v>11.761538724614411</v>
      </c>
      <c r="K212" s="101">
        <f t="shared" si="98"/>
        <v>24.534551048951023</v>
      </c>
      <c r="L212" s="101">
        <f t="shared" si="98"/>
        <v>6.36</v>
      </c>
      <c r="M212" s="101">
        <f t="shared" si="98"/>
        <v>15.92</v>
      </c>
    </row>
    <row r="213" spans="1:13">
      <c r="A213" s="101" t="s">
        <v>190</v>
      </c>
      <c r="B213" s="101">
        <f t="shared" ref="B213:M213" si="99">B10*1.1113*B196/(B197+B196)</f>
        <v>0.45877549232372761</v>
      </c>
      <c r="C213" s="101">
        <f t="shared" si="99"/>
        <v>0.7242401904949739</v>
      </c>
      <c r="D213" s="101">
        <f t="shared" si="99"/>
        <v>2.343100807996005</v>
      </c>
      <c r="E213" s="101">
        <f t="shared" si="99"/>
        <v>1.4863605340680677</v>
      </c>
      <c r="F213" s="101">
        <f t="shared" si="99"/>
        <v>1.1140691212017924</v>
      </c>
      <c r="G213" s="101">
        <f t="shared" si="99"/>
        <v>0.59700864004290932</v>
      </c>
      <c r="H213" s="101">
        <f t="shared" si="99"/>
        <v>2.4565464159076122</v>
      </c>
      <c r="I213" s="101">
        <f t="shared" si="99"/>
        <v>0.30449693180886167</v>
      </c>
      <c r="J213" s="101">
        <f t="shared" si="99"/>
        <v>0.38724501533600381</v>
      </c>
      <c r="K213" s="101">
        <f t="shared" si="99"/>
        <v>0.56170541930072759</v>
      </c>
      <c r="L213" s="101">
        <f t="shared" si="99"/>
        <v>0</v>
      </c>
      <c r="M213" s="101">
        <f t="shared" si="99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"/>
  <sheetViews>
    <sheetView workbookViewId="0">
      <selection activeCell="F5" sqref="F5"/>
    </sheetView>
  </sheetViews>
  <sheetFormatPr baseColWidth="10" defaultRowHeight="14"/>
  <cols>
    <col min="1" max="1" width="5.7109375" style="16" customWidth="1"/>
    <col min="2" max="2" width="5.85546875" style="9" customWidth="1"/>
    <col min="3" max="3" width="5.85546875" style="16" customWidth="1"/>
    <col min="4" max="23" width="5.28515625" style="16" customWidth="1"/>
    <col min="24" max="27" width="6.7109375" style="16" customWidth="1"/>
    <col min="28" max="248" width="11" style="16" customWidth="1"/>
    <col min="249" max="16384" width="10.7109375" style="16"/>
  </cols>
  <sheetData>
    <row r="1" spans="1:4" s="37" customFormat="1" ht="13">
      <c r="B1" s="38"/>
    </row>
    <row r="3" spans="1:4">
      <c r="A3" s="39" t="s">
        <v>0</v>
      </c>
      <c r="B3" s="40" t="s">
        <v>191</v>
      </c>
      <c r="C3" s="41" t="s">
        <v>116</v>
      </c>
      <c r="D3" s="40"/>
    </row>
    <row r="4" spans="1:4">
      <c r="A4" s="39" t="s">
        <v>4</v>
      </c>
      <c r="B4" s="40">
        <v>60</v>
      </c>
      <c r="C4" s="41">
        <v>141</v>
      </c>
      <c r="D4" s="40"/>
    </row>
    <row r="5" spans="1:4">
      <c r="A5" s="16" t="s">
        <v>5</v>
      </c>
      <c r="B5" s="9">
        <v>0.04</v>
      </c>
      <c r="C5" s="42">
        <v>0.05</v>
      </c>
      <c r="D5" s="9"/>
    </row>
    <row r="6" spans="1:4">
      <c r="A6" s="16" t="s">
        <v>6</v>
      </c>
      <c r="B6" s="9">
        <v>0.39</v>
      </c>
      <c r="C6" s="42">
        <v>0.08</v>
      </c>
      <c r="D6" s="9"/>
    </row>
    <row r="7" spans="1:4">
      <c r="A7" s="16" t="s">
        <v>7</v>
      </c>
      <c r="B7" s="9">
        <v>0.1</v>
      </c>
      <c r="C7" s="42">
        <v>0.1</v>
      </c>
      <c r="D7" s="9"/>
    </row>
    <row r="8" spans="1:4">
      <c r="A8" s="16" t="s">
        <v>8</v>
      </c>
      <c r="B8" s="9">
        <v>0.11</v>
      </c>
      <c r="C8" s="42">
        <v>0</v>
      </c>
      <c r="D8" s="9"/>
    </row>
    <row r="9" spans="1:4">
      <c r="A9" s="16" t="s">
        <v>9</v>
      </c>
      <c r="B9" s="9">
        <v>0.18</v>
      </c>
      <c r="C9" s="42">
        <v>0</v>
      </c>
      <c r="D9" s="9"/>
    </row>
    <row r="10" spans="1:4">
      <c r="A10" s="16" t="s">
        <v>10</v>
      </c>
      <c r="B10" s="9">
        <v>10.83</v>
      </c>
      <c r="C10" s="42">
        <v>13.03</v>
      </c>
      <c r="D10" s="9"/>
    </row>
    <row r="11" spans="1:4">
      <c r="A11" s="16" t="s">
        <v>11</v>
      </c>
      <c r="B11" s="9">
        <v>0.03</v>
      </c>
      <c r="C11" s="42">
        <v>0</v>
      </c>
      <c r="D11" s="9"/>
    </row>
    <row r="12" spans="1:4">
      <c r="A12" s="16" t="s">
        <v>12</v>
      </c>
      <c r="B12" s="9">
        <v>2.21</v>
      </c>
      <c r="C12" s="42">
        <v>0.03</v>
      </c>
      <c r="D12" s="9"/>
    </row>
    <row r="13" spans="1:4">
      <c r="A13" s="16" t="s">
        <v>13</v>
      </c>
      <c r="B13" s="9">
        <v>32.520000000000003</v>
      </c>
      <c r="C13" s="42">
        <v>27.15</v>
      </c>
      <c r="D13" s="9"/>
    </row>
    <row r="14" spans="1:4">
      <c r="A14" s="16" t="s">
        <v>14</v>
      </c>
      <c r="B14" s="9">
        <v>1.27</v>
      </c>
      <c r="C14" s="42">
        <v>22.21</v>
      </c>
      <c r="D14" s="9"/>
    </row>
    <row r="15" spans="1:4">
      <c r="A15" s="16" t="s">
        <v>15</v>
      </c>
      <c r="B15" s="9">
        <v>33.74</v>
      </c>
      <c r="C15" s="42">
        <v>24.72</v>
      </c>
      <c r="D15" s="9"/>
    </row>
    <row r="16" spans="1:4">
      <c r="A16" s="39" t="s">
        <v>16</v>
      </c>
      <c r="B16" s="9">
        <f>SUM(B5:B15)</f>
        <v>81.420000000000016</v>
      </c>
      <c r="C16" s="9">
        <f>SUM(C5:C15)</f>
        <v>87.37</v>
      </c>
      <c r="D16" s="9"/>
    </row>
    <row r="17" spans="1:4">
      <c r="A17" s="39" t="s">
        <v>192</v>
      </c>
      <c r="B17" s="43"/>
      <c r="C17" s="43"/>
      <c r="D17" s="43"/>
    </row>
    <row r="18" spans="1:4">
      <c r="A18" s="16" t="s">
        <v>18</v>
      </c>
      <c r="B18" s="9">
        <f>B13/60.09*(14/((B6/56.08)+(B7/79.9*2)+(B10/71.85)+(B9/70.94)+(B8/152.02*3)+(B13/60.09*2)+(B14/101.94*3)+(B15/40.32)+(B11/74.71)+(B5/94.2)+(B12/61.982)))</f>
        <v>3.5110582057836299</v>
      </c>
      <c r="C18" s="9">
        <f>C13/60.09*(14/((C6/56.08)+(C7/79.9*2)+(C10/71.85)+(C9/70.94)+(C8/152.02*3)+(C13/60.09*2)+(C14/101.94*3)+(C15/40.32)+(C11/74.71)+(C5/94.2)+(C12/61.982)))</f>
        <v>2.6841070517354577</v>
      </c>
      <c r="D18" s="9"/>
    </row>
    <row r="19" spans="1:4">
      <c r="A19" s="16" t="s">
        <v>19</v>
      </c>
      <c r="B19" s="9">
        <f>(B14/101.94*(14/((B6/56.08)+(B7/79.9*2)+(B10/71.85)+(B9/70.94)+(B8/152.02*3)+(B13/60.09*2)+(B14/101.94*3)+(B15/40.32)+(B11/74.71)+(B5/94.2)+(B12/61.982)))*2)</f>
        <v>0.16165114444815698</v>
      </c>
      <c r="C19" s="9">
        <f>(C14/101.94*(14/((C6/56.08)+(C7/79.9*2)+(C10/71.85)+(C9/70.94)+(C8/152.02*3)+(C13/60.09*2)+(C14/101.94*3)+(C15/40.32)+(C11/74.71)+(C5/94.2)+(C12/61.982)))*2)</f>
        <v>2.5886070408862802</v>
      </c>
      <c r="D19" s="9"/>
    </row>
    <row r="20" spans="1:4">
      <c r="A20" s="16" t="s">
        <v>20</v>
      </c>
      <c r="B20" s="9">
        <f>B7/79.9*(14/((B6/56.08)+(B7/79.9*2)+(B10/71.85)+(B9/70.94)+(B8/152.02*3)+(B13/60.09*2)+(B14/101.94*3)+(B15/40.32)+(B11/74.71)+(B5/94.2)+(B12/61.982)))</f>
        <v>8.119754843675225E-3</v>
      </c>
      <c r="C20" s="9">
        <f>C7/79.9*(14/((C6/56.08)+(C7/79.9*2)+(C10/71.85)+(C9/70.94)+(C8/152.02*3)+(C13/60.09*2)+(C14/101.94*3)+(C15/40.32)+(C11/74.71)+(C5/94.2)+(C12/61.982)))</f>
        <v>7.4350761997056033E-3</v>
      </c>
      <c r="D20" s="9"/>
    </row>
    <row r="21" spans="1:4">
      <c r="A21" s="16" t="s">
        <v>21</v>
      </c>
      <c r="B21" s="9">
        <f>B8/152.02*(14/((B6/56.08)+(B7/79.9*2)+(B10/71.85)+(B9/70.94)+(B8/152.02*3)+(B13/60.09*2)+(B14/101.94*3)+(B15/40.32)+(B11/74.71)+(B5/94.2)+(B12/61.982)))*2</f>
        <v>9.3888337483306848E-3</v>
      </c>
      <c r="C21" s="9">
        <f>C8/152.02*(14/((C6/56.08)+(C7/79.9*2)+(C10/71.85)+(C9/70.94)+(C8/152.02*3)+(C13/60.09*2)+(C14/101.94*3)+(C15/40.32)+(C11/74.71)+(C5/94.2)+(C12/61.982)))*2</f>
        <v>0</v>
      </c>
      <c r="D21" s="9"/>
    </row>
    <row r="22" spans="1:4">
      <c r="A22" s="16" t="s">
        <v>22</v>
      </c>
      <c r="B22" s="9">
        <f>B10/71.85*(14/((B6/56.08)+(B7/79.9*2)+(B10/71.85)+(B9/70.94)+(B8/152.02*3)+(B13/60.09*2)+(B14/101.94*3)+(B15/40.32)+(B11/74.71)+(B5/94.2)+(B12/61.982)))</f>
        <v>0.97789309701663396</v>
      </c>
      <c r="C22" s="9">
        <f>C10/71.85*(14/((C6/56.08)+(C7/79.9*2)+(C10/71.85)+(C9/70.94)+(C8/152.02*3)+(C13/60.09*2)+(C14/101.94*3)+(C15/40.32)+(C11/74.71)+(C5/94.2)+(C12/61.982)))</f>
        <v>1.0773327106868342</v>
      </c>
      <c r="D22" s="9"/>
    </row>
    <row r="23" spans="1:4">
      <c r="A23" s="16" t="s">
        <v>23</v>
      </c>
      <c r="B23" s="9">
        <f>B9/70.94*(14/((B6/56.08)+(B7/79.9*2)+(B10/71.85)+(B9/70.94)+(B8/152.02*3)+(B13/60.09*2)+(B14/101.94*3)+(B15/40.32)+(B11/74.71)+(B5/94.2)+(B12/61.982)))</f>
        <v>1.6461561060295612E-2</v>
      </c>
      <c r="C23" s="9">
        <f>C9/70.94*(14/((C6/56.08)+(C7/79.9*2)+(C10/71.85)+(C9/70.94)+(C8/152.02*3)+(C13/60.09*2)+(C14/101.94*3)+(C15/40.32)+(C11/74.71)+(C5/94.2)+(C12/61.982)))</f>
        <v>0</v>
      </c>
      <c r="D23" s="9"/>
    </row>
    <row r="24" spans="1:4">
      <c r="A24" s="16" t="s">
        <v>24</v>
      </c>
      <c r="B24" s="9">
        <f>B15/40.32*(14/((B6/56.08)+(B7/79.9*2)+(B10/71.85)+(B9/70.94)+(B8/152.02*3)+(B13/60.09*2)+(B14/101.94*3)+(B15/40.32)+(B11/74.71)+(B5/94.2)+(B12/61.982)))</f>
        <v>5.4289301143863105</v>
      </c>
      <c r="C24" s="9">
        <f>C15/40.32*(14/((C6/56.08)+(C7/79.9*2)+(C10/71.85)+(C9/70.94)+(C8/152.02*3)+(C13/60.09*2)+(C14/101.94*3)+(C15/40.32)+(C11/74.71)+(C5/94.2)+(C12/61.982)))</f>
        <v>3.6421694405188805</v>
      </c>
      <c r="D24" s="9"/>
    </row>
    <row r="25" spans="1:4">
      <c r="A25" s="16" t="s">
        <v>25</v>
      </c>
      <c r="B25" s="9">
        <f>B11/74.71*(14/((B6/56.08)+(B7/79.9*2)+(B10/71.85)+(B9/70.94)+(B8/152.02*3)+(B13/60.09*2)+(B14/101.94*3)+(B15/40.32)+(B11/74.71)+(B5/94.2)+(B12/61.982)))</f>
        <v>2.6051468826515209E-3</v>
      </c>
      <c r="C25" s="9">
        <f>C11/74.71*(14/((C6/56.08)+(C7/79.9*2)+(C10/71.85)+(C9/70.94)+(C8/152.02*3)+(C13/60.09*2)+(C14/101.94*3)+(C15/40.32)+(C11/74.71)+(C5/94.2)+(C12/61.982)))</f>
        <v>0</v>
      </c>
      <c r="D25" s="9"/>
    </row>
    <row r="26" spans="1:4">
      <c r="A26" s="16" t="s">
        <v>26</v>
      </c>
      <c r="B26" s="9">
        <f>B6/56.08*(14/((B6/56.08)+(B7/79.9*2)+(B10/71.85)+(B9/70.94)+(B8/152.02*3)+(B13/60.09*2)+(B14/101.94*3)+(B15/40.32)+(B11/74.71)+(B5/94.2)+(B12/61.982)))</f>
        <v>4.5117632076277399E-2</v>
      </c>
      <c r="C26" s="9">
        <f>C6/56.08*(14/((C6/56.08)+(C7/79.9*2)+(C10/71.85)+(C9/70.94)+(C8/152.02*3)+(C13/60.09*2)+(C14/101.94*3)+(C15/40.32)+(C11/74.71)+(C5/94.2)+(C12/61.982)))</f>
        <v>8.4745019737015367E-3</v>
      </c>
      <c r="D26" s="9"/>
    </row>
    <row r="27" spans="1:4">
      <c r="A27" s="16" t="s">
        <v>27</v>
      </c>
      <c r="B27" s="9">
        <f>B12/61.982*(14/((B6/56.08)+(B7/79.9*2)+(B10/71.85)+(B9/70.94)+(B8/152.02*3)+(B13/60.09*2)+(B14/101.94*3)+(B15/40.32)+(B11/74.71)+(B5/94.2)+(B12/61.982)))*2</f>
        <v>0.46264340955158834</v>
      </c>
      <c r="C27" s="9">
        <f>C12/61.982*(14/((C6/56.08)+(C7/79.9*2)+(C10/71.85)+(C9/70.94)+(C8/152.02*3)+(C13/60.09*2)+(C14/101.94*3)+(C15/40.32)+(C11/74.71)+(C5/94.2)+(C12/61.982)))*2</f>
        <v>5.7506623376768519E-3</v>
      </c>
      <c r="D27" s="9"/>
    </row>
    <row r="28" spans="1:4">
      <c r="A28" s="16" t="s">
        <v>28</v>
      </c>
      <c r="B28" s="9">
        <f>B5/94.2*(14/((B6/56.08)+(B7/79.9*2)+(B10/71.85)+(B9/70.94)+(B8/152.02*3)+(B13/60.09*2)+(B14/101.94*3)+(B15/40.32)+(B11/74.71)+(B5/94.2)+(B12/61.982)))*2</f>
        <v>5.5097105053898126E-3</v>
      </c>
      <c r="C28" s="9">
        <f>C5/94.2*(14/((C6/56.08)+(C7/79.9*2)+(C10/71.85)+(C9/70.94)+(C8/152.02*3)+(C13/60.09*2)+(C14/101.94*3)+(C15/40.32)+(C11/74.71)+(C5/94.2)+(C12/61.982)))*2</f>
        <v>6.3063969039965778E-3</v>
      </c>
      <c r="D28" s="9"/>
    </row>
    <row r="29" spans="1:4">
      <c r="C29" s="9"/>
    </row>
    <row r="30" spans="1:4">
      <c r="A30" s="16" t="s">
        <v>193</v>
      </c>
      <c r="B30" s="9">
        <f>B22/(B22+B24)*100</f>
        <v>15.263307020492894</v>
      </c>
      <c r="C30" s="9">
        <f>C22/(C22+C24)*100</f>
        <v>22.827253302800223</v>
      </c>
      <c r="D30" s="9"/>
    </row>
    <row r="31" spans="1:4">
      <c r="A31" s="16" t="s">
        <v>194</v>
      </c>
      <c r="B31" s="9">
        <f>(((B24/6)^5)*((4-B18)/6)*((4-B18)/4)*((B18/4)^3))/(((5/6)^5)*(1/6)*(1/4)*((3/4)^3))</f>
        <v>0.57834352938863554</v>
      </c>
      <c r="C31" s="9">
        <f>(((C24/6)^5)*((4-C18)/6)*((4-C18)/4)*((C18/4)^3))/(((5/6)^5)*(1/6)*(1/4)*((3/4)^3))</f>
        <v>0.25434755259821845</v>
      </c>
    </row>
    <row r="32" spans="1:4">
      <c r="A32" s="16" t="s">
        <v>195</v>
      </c>
      <c r="B32" s="9">
        <f>(((B24/6)^4)*(((4-B18)/6)^2)*(((4-B18)/4)^2)*((B18/4)^2))/(((4/6)^4)*((2/6)^2)*((2/4)^2)*((2/4)^2))</f>
        <v>3.7354400513927251E-2</v>
      </c>
      <c r="C32" s="9">
        <f>(((C24/6)^4)*(((4-C18)/6)^2)*(((4-C18)/4)^2)*((C18/4)^2))/(((4/6)^4)*((2/6)^2)*((2/4)^2)*((2/4)^2))</f>
        <v>0.23200778061636596</v>
      </c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8"/>
  <sheetViews>
    <sheetView workbookViewId="0">
      <selection activeCell="A5" sqref="A5:A15"/>
    </sheetView>
  </sheetViews>
  <sheetFormatPr baseColWidth="10" defaultRowHeight="14"/>
  <cols>
    <col min="1" max="1" width="7.42578125" style="55" customWidth="1"/>
    <col min="2" max="3" width="5.5703125" style="55" customWidth="1"/>
    <col min="4" max="10" width="5.5703125" style="42" customWidth="1"/>
    <col min="11" max="14" width="4.5703125" style="9" customWidth="1"/>
    <col min="15" max="15" width="4.5703125" style="16" customWidth="1"/>
    <col min="16" max="28" width="4.5703125" style="9" customWidth="1"/>
    <col min="29" max="29" width="4.5703125" style="16" customWidth="1"/>
    <col min="30" max="35" width="4.5703125" style="9" customWidth="1"/>
    <col min="36" max="232" width="11" style="16" customWidth="1"/>
    <col min="233" max="16384" width="10.7109375" style="16"/>
  </cols>
  <sheetData>
    <row r="1" spans="1:35" s="37" customFormat="1" ht="13">
      <c r="B1" s="37" t="s">
        <v>70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D1" s="38"/>
      <c r="AE1" s="38"/>
      <c r="AF1" s="38"/>
      <c r="AG1" s="38"/>
      <c r="AH1" s="38"/>
      <c r="AI1" s="38"/>
    </row>
    <row r="3" spans="1:35" s="40" customFormat="1">
      <c r="A3" s="56" t="s">
        <v>0</v>
      </c>
      <c r="B3" s="40" t="s">
        <v>116</v>
      </c>
      <c r="C3" s="40" t="s">
        <v>116</v>
      </c>
      <c r="D3" s="40" t="s">
        <v>116</v>
      </c>
      <c r="E3" s="40" t="s">
        <v>116</v>
      </c>
      <c r="F3" s="40" t="s">
        <v>116</v>
      </c>
      <c r="G3" s="41"/>
      <c r="H3" s="41"/>
      <c r="I3" s="41"/>
      <c r="J3" s="41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 s="40" customFormat="1">
      <c r="A4" s="56" t="s">
        <v>4</v>
      </c>
      <c r="B4" s="61">
        <v>82</v>
      </c>
      <c r="C4" s="61">
        <v>83</v>
      </c>
      <c r="D4" s="61">
        <v>12</v>
      </c>
      <c r="E4" s="61">
        <v>13</v>
      </c>
      <c r="F4" s="61">
        <v>143</v>
      </c>
      <c r="G4" s="41"/>
      <c r="H4" s="41"/>
      <c r="I4" t="s">
        <v>196</v>
      </c>
      <c r="J4">
        <v>6</v>
      </c>
      <c r="K4">
        <v>7</v>
      </c>
      <c r="L4">
        <v>12</v>
      </c>
      <c r="M4">
        <v>13</v>
      </c>
      <c r="N4">
        <v>14</v>
      </c>
      <c r="O4">
        <v>32</v>
      </c>
      <c r="P4">
        <v>33</v>
      </c>
      <c r="Q4">
        <v>39</v>
      </c>
      <c r="R4">
        <v>40</v>
      </c>
      <c r="S4">
        <v>45</v>
      </c>
      <c r="T4">
        <v>52</v>
      </c>
      <c r="U4">
        <v>53</v>
      </c>
      <c r="V4">
        <v>56</v>
      </c>
      <c r="W4">
        <v>57</v>
      </c>
      <c r="X4">
        <v>58</v>
      </c>
      <c r="Y4">
        <v>73</v>
      </c>
      <c r="Z4">
        <v>75</v>
      </c>
      <c r="AA4">
        <v>83</v>
      </c>
      <c r="AB4" s="57"/>
      <c r="AC4" s="57"/>
      <c r="AD4" s="57"/>
      <c r="AE4" s="57"/>
      <c r="AF4" s="57"/>
      <c r="AG4" s="57"/>
      <c r="AH4" s="57"/>
      <c r="AI4" s="57"/>
    </row>
    <row r="5" spans="1:35">
      <c r="A5" s="55" t="s">
        <v>5</v>
      </c>
      <c r="B5" s="40">
        <v>0.01</v>
      </c>
      <c r="C5" s="40">
        <v>0.02</v>
      </c>
      <c r="D5" s="40">
        <v>0</v>
      </c>
      <c r="E5" s="40">
        <v>0</v>
      </c>
      <c r="F5" s="40">
        <v>0</v>
      </c>
      <c r="G5" s="58"/>
      <c r="H5" s="58"/>
      <c r="I5" t="s">
        <v>5</v>
      </c>
      <c r="J5">
        <v>1.1000000000000001E-2</v>
      </c>
      <c r="K5">
        <v>1E-3</v>
      </c>
      <c r="L5">
        <v>3.5000000000000003E-2</v>
      </c>
      <c r="M5">
        <v>2.7999999999999997E-2</v>
      </c>
      <c r="N5">
        <v>5.0000000000000001E-3</v>
      </c>
      <c r="O5">
        <v>6.9999999999999993E-3</v>
      </c>
      <c r="P5">
        <v>2.7E-2</v>
      </c>
      <c r="Q5">
        <v>0</v>
      </c>
      <c r="R5">
        <v>0.01</v>
      </c>
      <c r="S5">
        <v>0</v>
      </c>
      <c r="T5">
        <v>0</v>
      </c>
      <c r="U5">
        <v>2.5000000000000001E-2</v>
      </c>
      <c r="V5">
        <v>2E-3</v>
      </c>
      <c r="W5">
        <v>0</v>
      </c>
      <c r="X5">
        <v>1.2E-2</v>
      </c>
      <c r="Y5">
        <v>0</v>
      </c>
      <c r="Z5">
        <v>0</v>
      </c>
      <c r="AA5">
        <v>0</v>
      </c>
      <c r="AB5" s="59"/>
      <c r="AC5" s="60"/>
      <c r="AD5" s="59"/>
      <c r="AE5" s="59"/>
      <c r="AF5" s="59"/>
      <c r="AG5" s="59"/>
      <c r="AH5" s="59"/>
      <c r="AI5" s="59"/>
    </row>
    <row r="6" spans="1:35">
      <c r="A6" s="55" t="s">
        <v>6</v>
      </c>
      <c r="B6" s="40">
        <v>0.04</v>
      </c>
      <c r="C6" s="40">
        <v>0</v>
      </c>
      <c r="D6" s="40">
        <v>0.03</v>
      </c>
      <c r="E6" s="40">
        <v>0</v>
      </c>
      <c r="F6" s="40">
        <v>0.03</v>
      </c>
      <c r="G6" s="58"/>
      <c r="H6" s="58"/>
      <c r="I6" t="s">
        <v>197</v>
      </c>
      <c r="J6">
        <v>6.9999999999999993E-3</v>
      </c>
      <c r="K6">
        <v>1.7000000000000001E-2</v>
      </c>
      <c r="L6">
        <v>0</v>
      </c>
      <c r="M6">
        <v>0.01</v>
      </c>
      <c r="N6">
        <v>7.2999999999999995E-2</v>
      </c>
      <c r="O6">
        <v>0</v>
      </c>
      <c r="P6">
        <v>5.8000000000000003E-2</v>
      </c>
      <c r="Q6">
        <v>1.2999999999999999E-2</v>
      </c>
      <c r="R6">
        <v>0.03</v>
      </c>
      <c r="S6">
        <v>0</v>
      </c>
      <c r="T6">
        <v>2.5000000000000001E-2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3.5000000000000003E-2</v>
      </c>
      <c r="AB6" s="59"/>
      <c r="AC6" s="60"/>
      <c r="AD6" s="59"/>
      <c r="AE6" s="59"/>
      <c r="AF6" s="59"/>
      <c r="AG6" s="59"/>
      <c r="AH6" s="59"/>
      <c r="AI6" s="59"/>
    </row>
    <row r="7" spans="1:35">
      <c r="A7" s="55" t="s">
        <v>7</v>
      </c>
      <c r="B7" s="40">
        <v>7.0000000000000007E-2</v>
      </c>
      <c r="C7" s="40">
        <v>0</v>
      </c>
      <c r="D7" s="40">
        <v>0.02</v>
      </c>
      <c r="E7" s="40">
        <v>0.05</v>
      </c>
      <c r="F7" s="40">
        <v>7.0000000000000007E-2</v>
      </c>
      <c r="G7" s="58"/>
      <c r="H7" s="58"/>
      <c r="I7" t="s">
        <v>198</v>
      </c>
      <c r="J7">
        <v>44.234999999999999</v>
      </c>
      <c r="K7">
        <v>43.555</v>
      </c>
      <c r="L7">
        <v>44.552999999999997</v>
      </c>
      <c r="M7">
        <v>44.649000000000001</v>
      </c>
      <c r="N7">
        <v>44.391999999999996</v>
      </c>
      <c r="O7">
        <v>42.981000000000002</v>
      </c>
      <c r="P7">
        <v>43.655000000000001</v>
      </c>
      <c r="Q7">
        <v>40.666000000000004</v>
      </c>
      <c r="R7">
        <v>39.512</v>
      </c>
      <c r="S7">
        <v>40.722999999999999</v>
      </c>
      <c r="T7">
        <v>43.248999999999995</v>
      </c>
      <c r="U7">
        <v>43.075000000000003</v>
      </c>
      <c r="V7">
        <v>43.917999999999999</v>
      </c>
      <c r="W7">
        <v>43.691000000000003</v>
      </c>
      <c r="X7">
        <v>43.378999999999998</v>
      </c>
      <c r="Y7">
        <v>44.53</v>
      </c>
      <c r="Z7">
        <v>43.905999999999999</v>
      </c>
      <c r="AA7">
        <v>44.509</v>
      </c>
      <c r="AB7" s="59"/>
      <c r="AC7" s="60"/>
      <c r="AD7" s="59"/>
      <c r="AE7" s="59"/>
      <c r="AF7" s="59"/>
      <c r="AG7" s="59"/>
      <c r="AH7" s="59"/>
      <c r="AI7" s="59"/>
    </row>
    <row r="8" spans="1:35">
      <c r="A8" s="55" t="s">
        <v>8</v>
      </c>
      <c r="B8" s="40">
        <v>0.05</v>
      </c>
      <c r="C8" s="40">
        <v>0.13</v>
      </c>
      <c r="D8" s="40">
        <v>0.03</v>
      </c>
      <c r="E8" s="40">
        <v>0.02</v>
      </c>
      <c r="F8" s="40">
        <v>0</v>
      </c>
      <c r="G8" s="58"/>
      <c r="H8" s="58"/>
      <c r="I8" t="s">
        <v>199</v>
      </c>
      <c r="J8">
        <v>0.11</v>
      </c>
      <c r="K8">
        <v>9.9000000000000005E-2</v>
      </c>
      <c r="L8">
        <v>0.13400000000000001</v>
      </c>
      <c r="M8">
        <v>0.19</v>
      </c>
      <c r="N8">
        <v>8.8999999999999996E-2</v>
      </c>
      <c r="O8">
        <v>0.35499999999999998</v>
      </c>
      <c r="P8">
        <v>0.35499999999999998</v>
      </c>
      <c r="Q8">
        <v>4.7050000000000001</v>
      </c>
      <c r="R8">
        <v>5.6719999999999997</v>
      </c>
      <c r="S8">
        <v>3.5839999999999996</v>
      </c>
      <c r="T8">
        <v>0.76100000000000001</v>
      </c>
      <c r="U8">
        <v>0.50600000000000001</v>
      </c>
      <c r="V8">
        <v>0</v>
      </c>
      <c r="W8">
        <v>0.23400000000000001</v>
      </c>
      <c r="X8">
        <v>0.43299999999999994</v>
      </c>
      <c r="Y8">
        <v>0.21299999999999999</v>
      </c>
      <c r="Z8">
        <v>8.8999999999999996E-2</v>
      </c>
      <c r="AA8">
        <v>0.11100000000000002</v>
      </c>
      <c r="AB8" s="59"/>
      <c r="AC8" s="60"/>
      <c r="AD8" s="59"/>
      <c r="AE8" s="59"/>
      <c r="AF8" s="59"/>
      <c r="AG8" s="59"/>
      <c r="AH8" s="59"/>
      <c r="AI8" s="59"/>
    </row>
    <row r="9" spans="1:35">
      <c r="A9" s="55" t="s">
        <v>9</v>
      </c>
      <c r="B9" s="40">
        <v>0.18</v>
      </c>
      <c r="C9" s="40">
        <v>0.19</v>
      </c>
      <c r="D9" s="40">
        <v>0.1</v>
      </c>
      <c r="E9" s="40">
        <v>0.23</v>
      </c>
      <c r="F9" s="40">
        <v>0.24</v>
      </c>
      <c r="G9" s="58"/>
      <c r="H9" s="58"/>
      <c r="I9" t="s">
        <v>200</v>
      </c>
      <c r="J9">
        <v>11.389000000000001</v>
      </c>
      <c r="K9">
        <v>13.265000000000001</v>
      </c>
      <c r="L9">
        <v>10.038</v>
      </c>
      <c r="M9">
        <v>9.5960000000000001</v>
      </c>
      <c r="N9">
        <v>11.472</v>
      </c>
      <c r="O9">
        <v>11.326000000000001</v>
      </c>
      <c r="P9">
        <v>10.48</v>
      </c>
      <c r="Q9">
        <v>10.226000000000001</v>
      </c>
      <c r="R9">
        <v>10.538</v>
      </c>
      <c r="S9">
        <v>10.803000000000001</v>
      </c>
      <c r="T9">
        <v>11.706999999999999</v>
      </c>
      <c r="U9">
        <v>11.936</v>
      </c>
      <c r="V9">
        <v>12.012</v>
      </c>
      <c r="W9">
        <v>11.456</v>
      </c>
      <c r="X9">
        <v>11.787000000000001</v>
      </c>
      <c r="Y9">
        <v>9.8759999999999994</v>
      </c>
      <c r="Z9">
        <v>11.635</v>
      </c>
      <c r="AA9">
        <v>11.52</v>
      </c>
      <c r="AB9" s="59"/>
      <c r="AC9" s="60"/>
      <c r="AD9" s="59"/>
      <c r="AE9" s="59"/>
      <c r="AF9" s="59"/>
      <c r="AG9" s="59"/>
      <c r="AH9" s="59"/>
      <c r="AI9" s="59"/>
    </row>
    <row r="10" spans="1:35">
      <c r="A10" s="55" t="s">
        <v>118</v>
      </c>
      <c r="B10" s="40">
        <v>15.84</v>
      </c>
      <c r="C10" s="40">
        <v>16.45</v>
      </c>
      <c r="D10" s="40">
        <v>16.62</v>
      </c>
      <c r="E10" s="40">
        <v>16.57</v>
      </c>
      <c r="F10" s="40">
        <v>16.399999999999999</v>
      </c>
      <c r="G10" s="58"/>
      <c r="H10" s="58"/>
      <c r="I10" t="s">
        <v>201</v>
      </c>
      <c r="J10">
        <v>0.192</v>
      </c>
      <c r="K10">
        <v>0.13</v>
      </c>
      <c r="L10">
        <v>0.01</v>
      </c>
      <c r="M10">
        <v>0.20400000000000001</v>
      </c>
      <c r="N10">
        <v>0</v>
      </c>
      <c r="O10">
        <v>0.23200000000000001</v>
      </c>
      <c r="P10">
        <v>0</v>
      </c>
      <c r="Q10">
        <v>8.8999999999999996E-2</v>
      </c>
      <c r="R10">
        <v>4.2999999999999997E-2</v>
      </c>
      <c r="S10">
        <v>0.155</v>
      </c>
      <c r="T10">
        <v>1.7000000000000001E-2</v>
      </c>
      <c r="U10">
        <v>0</v>
      </c>
      <c r="V10">
        <v>6.2E-2</v>
      </c>
      <c r="W10">
        <v>0.15</v>
      </c>
      <c r="X10">
        <v>0.182</v>
      </c>
      <c r="Y10">
        <v>0.16</v>
      </c>
      <c r="Z10">
        <v>0.121</v>
      </c>
      <c r="AA10">
        <v>5.2999999999999999E-2</v>
      </c>
      <c r="AB10" s="59"/>
      <c r="AC10" s="60"/>
      <c r="AD10" s="59"/>
      <c r="AE10" s="59"/>
      <c r="AF10" s="59"/>
      <c r="AG10" s="59"/>
      <c r="AH10" s="59"/>
      <c r="AI10" s="59"/>
    </row>
    <row r="11" spans="1:35">
      <c r="A11" s="55" t="s">
        <v>11</v>
      </c>
      <c r="B11" s="40">
        <v>0</v>
      </c>
      <c r="C11" s="40">
        <v>0</v>
      </c>
      <c r="D11" s="40">
        <v>0.08</v>
      </c>
      <c r="E11" s="40">
        <v>0.02</v>
      </c>
      <c r="F11" s="40">
        <v>0.06</v>
      </c>
      <c r="G11" s="58"/>
      <c r="H11" s="58"/>
      <c r="I11" t="s">
        <v>202</v>
      </c>
      <c r="J11">
        <v>10.686</v>
      </c>
      <c r="K11">
        <v>9.7430000000000003</v>
      </c>
      <c r="L11">
        <v>12.3</v>
      </c>
      <c r="M11">
        <v>12.281000000000001</v>
      </c>
      <c r="N11">
        <v>10.914999999999999</v>
      </c>
      <c r="O11">
        <v>10.638</v>
      </c>
      <c r="P11">
        <v>11.802</v>
      </c>
      <c r="Q11">
        <v>11.172000000000001</v>
      </c>
      <c r="R11">
        <v>10.728</v>
      </c>
      <c r="S11">
        <v>10.9</v>
      </c>
      <c r="T11">
        <v>10.366</v>
      </c>
      <c r="U11">
        <v>10.564</v>
      </c>
      <c r="V11">
        <v>10.438000000000001</v>
      </c>
      <c r="W11">
        <v>10.632</v>
      </c>
      <c r="X11">
        <v>10.617000000000001</v>
      </c>
      <c r="Y11">
        <v>11.877000000000001</v>
      </c>
      <c r="Z11">
        <v>10.708</v>
      </c>
      <c r="AA11">
        <v>10.807</v>
      </c>
      <c r="AB11" s="59"/>
      <c r="AC11" s="60"/>
      <c r="AD11" s="59"/>
      <c r="AE11" s="59"/>
      <c r="AF11" s="59"/>
      <c r="AG11" s="59"/>
      <c r="AH11" s="59"/>
      <c r="AI11" s="59"/>
    </row>
    <row r="12" spans="1:35">
      <c r="A12" s="55" t="s">
        <v>12</v>
      </c>
      <c r="B12" s="40">
        <v>0.01</v>
      </c>
      <c r="C12" s="40">
        <v>0.03</v>
      </c>
      <c r="D12" s="40">
        <v>0</v>
      </c>
      <c r="E12" s="40">
        <v>0</v>
      </c>
      <c r="F12" s="40">
        <v>0.03</v>
      </c>
      <c r="G12" s="58"/>
      <c r="H12" s="58"/>
      <c r="I12" t="s">
        <v>203</v>
      </c>
      <c r="J12">
        <v>3.9E-2</v>
      </c>
      <c r="K12">
        <v>0.05</v>
      </c>
      <c r="L12">
        <v>3.6000000000000004E-2</v>
      </c>
      <c r="M12">
        <v>0</v>
      </c>
      <c r="N12">
        <v>8.0000000000000002E-3</v>
      </c>
      <c r="O12">
        <v>5.5999999999999994E-2</v>
      </c>
      <c r="P12">
        <v>2.5000000000000001E-2</v>
      </c>
      <c r="Q12">
        <v>2.1000000000000001E-2</v>
      </c>
      <c r="R12">
        <v>9.0999999999999998E-2</v>
      </c>
      <c r="S12">
        <v>8.5000000000000006E-2</v>
      </c>
      <c r="T12">
        <v>9.7000000000000003E-2</v>
      </c>
      <c r="U12">
        <v>2.2000000000000002E-2</v>
      </c>
      <c r="V12">
        <v>0.05</v>
      </c>
      <c r="W12">
        <v>2.7999999999999997E-2</v>
      </c>
      <c r="X12">
        <v>1.3999999999999999E-2</v>
      </c>
      <c r="Y12">
        <v>2.2000000000000002E-2</v>
      </c>
      <c r="Z12">
        <v>5.2999999999999999E-2</v>
      </c>
      <c r="AA12">
        <v>0</v>
      </c>
      <c r="AB12" s="59"/>
      <c r="AC12" s="60"/>
      <c r="AD12" s="59"/>
      <c r="AE12" s="59"/>
      <c r="AF12" s="59"/>
      <c r="AG12" s="59"/>
      <c r="AH12" s="59"/>
      <c r="AI12" s="59"/>
    </row>
    <row r="13" spans="1:35">
      <c r="A13" s="55" t="s">
        <v>13</v>
      </c>
      <c r="B13" s="40">
        <v>26.33</v>
      </c>
      <c r="C13" s="40">
        <v>26.18</v>
      </c>
      <c r="D13" s="40">
        <v>25.69</v>
      </c>
      <c r="E13" s="40">
        <v>25.32</v>
      </c>
      <c r="F13" s="40">
        <v>25.32</v>
      </c>
      <c r="G13" s="58"/>
      <c r="H13" s="58"/>
      <c r="I13" t="s">
        <v>204</v>
      </c>
      <c r="J13">
        <v>6.9999999999999993E-3</v>
      </c>
      <c r="K13">
        <v>0</v>
      </c>
      <c r="L13">
        <v>0.02</v>
      </c>
      <c r="M13">
        <v>8.0000000000000002E-3</v>
      </c>
      <c r="N13">
        <v>0</v>
      </c>
      <c r="O13">
        <v>9.0000000000000011E-3</v>
      </c>
      <c r="P13">
        <v>0</v>
      </c>
      <c r="Q13">
        <v>0</v>
      </c>
      <c r="R13">
        <v>0</v>
      </c>
      <c r="S13">
        <v>6.9999999999999993E-3</v>
      </c>
      <c r="T13">
        <v>2.3E-2</v>
      </c>
      <c r="U13">
        <v>9.0000000000000011E-3</v>
      </c>
      <c r="V13">
        <v>0</v>
      </c>
      <c r="W13">
        <v>2.4E-2</v>
      </c>
      <c r="X13">
        <v>1.9E-2</v>
      </c>
      <c r="Y13">
        <v>0</v>
      </c>
      <c r="Z13">
        <v>0</v>
      </c>
      <c r="AA13">
        <v>5.0000000000000001E-3</v>
      </c>
      <c r="AB13" s="59"/>
      <c r="AC13" s="60"/>
      <c r="AD13" s="59"/>
      <c r="AE13" s="59"/>
      <c r="AF13" s="59"/>
      <c r="AG13" s="59"/>
      <c r="AH13" s="59"/>
      <c r="AI13" s="59"/>
    </row>
    <row r="14" spans="1:35">
      <c r="A14" s="55" t="s">
        <v>14</v>
      </c>
      <c r="B14" s="40">
        <v>41.96</v>
      </c>
      <c r="C14" s="40">
        <v>41.59</v>
      </c>
      <c r="D14" s="40">
        <v>41.57</v>
      </c>
      <c r="E14" s="40">
        <v>42.4</v>
      </c>
      <c r="F14" s="40">
        <v>41.91</v>
      </c>
      <c r="G14" s="58"/>
      <c r="H14" s="58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 s="59"/>
      <c r="AC14" s="60"/>
      <c r="AD14" s="59"/>
      <c r="AE14" s="59"/>
      <c r="AF14" s="59"/>
      <c r="AG14" s="59"/>
      <c r="AH14" s="59"/>
      <c r="AI14" s="59"/>
    </row>
    <row r="15" spans="1:35">
      <c r="A15" s="55" t="s">
        <v>15</v>
      </c>
      <c r="B15" s="40">
        <v>8.3000000000000007</v>
      </c>
      <c r="C15" s="40">
        <v>8.14</v>
      </c>
      <c r="D15" s="40">
        <v>7.85</v>
      </c>
      <c r="E15" s="40">
        <v>7.88</v>
      </c>
      <c r="F15" s="40">
        <v>8.06</v>
      </c>
      <c r="G15" s="58"/>
      <c r="H15" s="58"/>
      <c r="I15" t="s">
        <v>205</v>
      </c>
      <c r="J15">
        <v>25.820999999999998</v>
      </c>
      <c r="K15">
        <v>26.189</v>
      </c>
      <c r="L15">
        <v>26.388000000000002</v>
      </c>
      <c r="M15">
        <v>26.938000000000002</v>
      </c>
      <c r="N15">
        <v>26.805</v>
      </c>
      <c r="O15">
        <v>25.891999999999999</v>
      </c>
      <c r="P15">
        <v>26.251000000000001</v>
      </c>
      <c r="Q15">
        <v>25.846999999999998</v>
      </c>
      <c r="R15">
        <v>25.9</v>
      </c>
      <c r="S15">
        <v>25.626999999999999</v>
      </c>
      <c r="T15">
        <v>25.838000000000001</v>
      </c>
      <c r="U15">
        <v>25.951999999999998</v>
      </c>
      <c r="V15">
        <v>26.061</v>
      </c>
      <c r="W15">
        <v>26.112000000000002</v>
      </c>
      <c r="X15">
        <v>25.940999999999999</v>
      </c>
      <c r="Y15">
        <v>26.581</v>
      </c>
      <c r="Z15">
        <v>26.311</v>
      </c>
      <c r="AA15">
        <v>26.484000000000002</v>
      </c>
      <c r="AB15" s="59"/>
      <c r="AC15" s="60"/>
      <c r="AD15" s="59"/>
      <c r="AE15" s="59"/>
      <c r="AF15" s="59"/>
      <c r="AG15" s="59"/>
      <c r="AH15" s="59"/>
      <c r="AI15" s="59"/>
    </row>
    <row r="16" spans="1:35">
      <c r="A16" s="39" t="s">
        <v>16</v>
      </c>
      <c r="B16" s="42">
        <f>SUM(B5:B15)</f>
        <v>92.79</v>
      </c>
      <c r="C16" s="42">
        <f>SUM(C5:C15)</f>
        <v>92.73</v>
      </c>
      <c r="D16" s="42">
        <f>SUM(D5:D15)</f>
        <v>91.99</v>
      </c>
      <c r="E16" s="42">
        <f>SUM(E5:E15)</f>
        <v>92.49</v>
      </c>
      <c r="F16" s="42">
        <f>SUM(F5:F15)</f>
        <v>92.12</v>
      </c>
      <c r="K16" s="59"/>
      <c r="L16" s="59"/>
      <c r="M16" s="59"/>
      <c r="N16" s="59"/>
      <c r="O16" s="60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0"/>
      <c r="AD16" s="59"/>
      <c r="AE16" s="59"/>
      <c r="AF16" s="59"/>
      <c r="AG16" s="59"/>
      <c r="AH16" s="59"/>
      <c r="AI16" s="59"/>
    </row>
    <row r="17" spans="1:35">
      <c r="A17" s="55" t="s">
        <v>206</v>
      </c>
      <c r="B17" s="42">
        <f>12/((B6/56.08)+(B7/79.9*2)+(B10/71.85)+(B9/70.94)+(B8/152.02*3)+(B13/60.09*2)+(B14/101.94*3)+(B15/40.32)+(B11/74.71)+(B5/94.2)+(B12/61.982))</f>
        <v>4.7174156976493204</v>
      </c>
      <c r="C17" s="42">
        <f>12/((C6/56.08)+(C7/79.9*2)+(C10/71.85)+(C9/70.94)+(C8/152.02*3)+(C13/60.09*2)+(C14/101.94*3)+(C15/40.32)+(C11/74.71)+(C5/94.2)+(C12/61.982))</f>
        <v>4.7391696997220762</v>
      </c>
      <c r="D17" s="42">
        <f>12/((D6/56.08)+(D7/79.9*2)+(D10/71.85)+(D9/70.94)+(D8/152.02*3)+(D13/60.09*2)+(D14/101.94*3)+(D15/40.32)+(D11/74.71)+(D5/94.2)+(D12/61.982))</f>
        <v>4.7836719953711508</v>
      </c>
      <c r="E17" s="42">
        <f>12/((E6/56.08)+(E7/79.9*2)+(E10/71.85)+(E9/70.94)+(E8/152.02*3)+(E13/60.09*2)+(E14/101.94*3)+(E15/40.32)+(E11/74.71)+(E5/94.2)+(E12/61.982))</f>
        <v>4.7586177336945177</v>
      </c>
      <c r="F17" s="42">
        <f>12/((F6/56.08)+(F7/79.9*2)+(F10/71.85)+(F9/70.94)+(F8/152.02*3)+(F13/60.09*2)+(F14/101.94*3)+(F15/40.32)+(F11/74.71)+(F5/94.2)+(F12/61.982))</f>
        <v>4.7785539164932134</v>
      </c>
      <c r="K17" s="59"/>
      <c r="L17" s="59"/>
      <c r="M17" s="59"/>
      <c r="N17" s="59"/>
      <c r="O17" s="60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59"/>
      <c r="AE17" s="59"/>
      <c r="AF17" s="59"/>
      <c r="AG17" s="59"/>
      <c r="AH17" s="59"/>
      <c r="AI17" s="59"/>
    </row>
    <row r="18" spans="1:35">
      <c r="A18" s="55" t="s">
        <v>207</v>
      </c>
      <c r="B18" s="42">
        <f>(B5/94.2*B17*2)+(B6/56.08*B17)+(B7/79.9*B17)+(B8/152.02*B17*2)+(B9/70.94*B17)+(B10/71.85*B17)+(B11/74.71*B17)+(B12/61.982*B17*2)+(B13/60.09*B17)+(B14/101.94*B17*2)+(B15/40.32*B17)</f>
        <v>7.9867612015437555</v>
      </c>
      <c r="C18" s="42">
        <f>(C5/94.2*C17*2)+(C6/56.08*C17)+(C7/79.9*C17)+(C8/152.02*C17*2)+(C9/70.94*C17)+(C10/71.85*C17)+(C11/74.71*C17)+(C12/61.982*C17*2)+(C13/60.09*C17)+(C14/101.94*C17*2)+(C15/40.32*C17)</f>
        <v>8.0009761572708893</v>
      </c>
      <c r="D18" s="42">
        <f>(D5/94.2*D17*2)+(D6/56.08*D17)+(D7/79.9*D17)+(D8/152.02*D17*2)+(D9/70.94*D17)+(D10/71.85*D17)+(D11/74.71*D17)+(D12/61.982*D17*2)+(D13/60.09*D17)+(D14/101.94*D17*2)+(D15/40.32*D17)</f>
        <v>8.0019890636585966</v>
      </c>
      <c r="E18" s="42">
        <f>(E5/94.2*E17*2)+(E6/56.08*E17)+(E7/79.9*E17)+(E8/152.02*E17*2)+(E9/70.94*E17)+(E10/71.85*E17)+(E11/74.71*E17)+(E12/61.982*E17*2)+(E13/60.09*E17)+(E14/101.94*E17*2)+(E15/40.32*E17)</f>
        <v>8.0120107539478553</v>
      </c>
      <c r="F18" s="42">
        <f>(F5/94.2*F17*2)+(F6/56.08*F17)+(F7/79.9*F17)+(F8/152.02*F17*2)+(F9/70.94*F17)+(F10/71.85*F17)+(F11/74.71*F17)+(F12/61.982*F17*2)+(F13/60.09*F17)+(F14/101.94*F17*2)+(F15/40.32*F17)</f>
        <v>8.0200178370173472</v>
      </c>
      <c r="K18" s="59"/>
      <c r="L18" s="59"/>
      <c r="M18" s="59"/>
      <c r="N18" s="59"/>
      <c r="O18" s="60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59"/>
      <c r="AE18" s="59"/>
      <c r="AF18" s="59"/>
      <c r="AG18" s="59"/>
      <c r="AH18" s="59"/>
      <c r="AI18" s="59"/>
    </row>
    <row r="19" spans="1:35">
      <c r="A19" s="39" t="s">
        <v>208</v>
      </c>
      <c r="B19" s="42"/>
      <c r="C19" s="42"/>
      <c r="K19" s="59"/>
      <c r="L19" s="59"/>
      <c r="M19" s="59"/>
      <c r="N19" s="59"/>
      <c r="O19" s="60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59"/>
      <c r="AE19" s="59"/>
      <c r="AF19" s="59"/>
      <c r="AG19" s="59"/>
      <c r="AH19" s="59"/>
      <c r="AI19" s="59"/>
    </row>
    <row r="20" spans="1:35">
      <c r="A20" s="55" t="s">
        <v>18</v>
      </c>
      <c r="B20" s="42">
        <f>(B13/60.09*B17)*8/B18</f>
        <v>2.0704850090351283</v>
      </c>
      <c r="C20" s="42">
        <f>(C13/60.09*C17)*8/C18</f>
        <v>2.0645086608123755</v>
      </c>
      <c r="D20" s="42">
        <f>(D13/60.09*D17)*8/D18</f>
        <v>2.044632817809243</v>
      </c>
      <c r="E20" s="42">
        <f>(E13/60.09*E17)*8/E18</f>
        <v>2.0021231141217566</v>
      </c>
      <c r="F20" s="42">
        <f>(F13/60.09*F17)*8/F18</f>
        <v>2.0085037210551753</v>
      </c>
      <c r="K20" s="59"/>
      <c r="L20" s="59"/>
      <c r="M20" s="59"/>
      <c r="N20" s="59"/>
      <c r="O20" s="60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59"/>
      <c r="AE20" s="59"/>
      <c r="AF20" s="59"/>
      <c r="AG20" s="59"/>
      <c r="AH20" s="59"/>
      <c r="AI20" s="59"/>
    </row>
    <row r="21" spans="1:35">
      <c r="A21" s="55" t="s">
        <v>20</v>
      </c>
      <c r="B21" s="42">
        <f>(B7/79.9*B17)*8/B18</f>
        <v>4.1397555401831388E-3</v>
      </c>
      <c r="C21" s="42">
        <f>(C7/79.9*C17)*8/C18</f>
        <v>0</v>
      </c>
      <c r="D21" s="42">
        <f>(D7/79.9*D17)*8/D18</f>
        <v>1.197117124530979E-3</v>
      </c>
      <c r="E21" s="42">
        <f>(E7/79.9*E17)*8/E18</f>
        <v>2.9733943181241653E-3</v>
      </c>
      <c r="F21" s="42">
        <f>(F7/79.9*F17)*8/F18</f>
        <v>4.1760184046578681E-3</v>
      </c>
      <c r="K21" s="59"/>
      <c r="L21" s="59"/>
      <c r="M21" s="59"/>
      <c r="N21" s="59"/>
      <c r="O21" s="60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59"/>
      <c r="AE21" s="59"/>
      <c r="AF21" s="59"/>
      <c r="AG21" s="59"/>
      <c r="AH21" s="59"/>
      <c r="AI21" s="59"/>
    </row>
    <row r="22" spans="1:35">
      <c r="A22" s="55" t="s">
        <v>19</v>
      </c>
      <c r="B22" s="42">
        <f>(B14/101.94*B17*2)*8/B18</f>
        <v>3.8899523481712359</v>
      </c>
      <c r="C22" s="42">
        <f>(C14/101.94*C17*2)*8/C18</f>
        <v>3.8665493509637172</v>
      </c>
      <c r="D22" s="42">
        <f>(D14/101.94*D17*2)*8/D18</f>
        <v>3.9004868485908859</v>
      </c>
      <c r="E22" s="42">
        <f>(E14/101.94*E17*2)*8/E18</f>
        <v>3.9525785109548055</v>
      </c>
      <c r="F22" s="42">
        <f>(F14/101.94*F17*2)*8/F18</f>
        <v>3.9193511068143669</v>
      </c>
      <c r="K22" s="59"/>
      <c r="L22" s="59"/>
      <c r="M22" s="59"/>
      <c r="N22" s="59"/>
      <c r="O22" s="60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0"/>
      <c r="AD22" s="59"/>
      <c r="AE22" s="59"/>
      <c r="AF22" s="59"/>
      <c r="AG22" s="59"/>
      <c r="AH22" s="59"/>
      <c r="AI22" s="59"/>
    </row>
    <row r="23" spans="1:35">
      <c r="A23" s="55" t="s">
        <v>21</v>
      </c>
      <c r="B23" s="42">
        <f>(B8/152.02*B17*2)*8/B18</f>
        <v>3.1082984161917866E-3</v>
      </c>
      <c r="C23" s="42">
        <f>(C8/152.02*C17*2)*8/C18</f>
        <v>8.1044190868637626E-3</v>
      </c>
      <c r="D23" s="42">
        <f>(D8/152.02*D17*2)*8/D18</f>
        <v>1.8875738373245342E-3</v>
      </c>
      <c r="E23" s="42">
        <f>(E8/152.02*E17*2)*8/E18</f>
        <v>1.2502260545618773E-3</v>
      </c>
      <c r="F23" s="42">
        <f>(F8/152.02*F17*2)*8/F18</f>
        <v>0</v>
      </c>
      <c r="K23" s="59"/>
      <c r="L23" s="59"/>
      <c r="M23" s="59"/>
      <c r="N23" s="59"/>
      <c r="O23" s="60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0"/>
      <c r="AD23" s="59"/>
      <c r="AE23" s="59"/>
      <c r="AF23" s="59"/>
      <c r="AG23" s="59"/>
      <c r="AH23" s="59"/>
      <c r="AI23" s="59"/>
    </row>
    <row r="24" spans="1:35">
      <c r="A24" s="55" t="s">
        <v>51</v>
      </c>
      <c r="B24" s="42">
        <f>IF(((B10/71.85*B17)*8/B18)&gt;(IF((24*(1-(8/B18)))&gt;0,(24*(1-(8/B18))),0)),(IF((24*(1-(8/B18)))&gt;0,(24*(1-(8/B18))),0)),((B10/71.85*B17)*8/B18))</f>
        <v>0</v>
      </c>
      <c r="C24" s="42">
        <f>IF(((C10/71.85*C17)*8/C18)&gt;(IF((24*(1-(8/C18)))&gt;0,(24*(1-(8/C18))),0)),(IF((24*(1-(8/C18)))&gt;0,(24*(1-(8/C18))),0)),((C10/71.85*C17)*8/C18))</f>
        <v>2.9281145251323082E-3</v>
      </c>
      <c r="D24" s="42">
        <f>IF(((D10/71.85*D17)*8/D18)&gt;(IF((24*(1-(8/D18)))&gt;0,(24*(1-(8/D18))),0)),(IF((24*(1-(8/D18)))&gt;0,(24*(1-(8/D18))),0)),((D10/71.85*D17)*8/D18))</f>
        <v>5.9657077042416518E-3</v>
      </c>
      <c r="E24" s="42">
        <f>IF(((E10/71.85*E17)*8/E18)&gt;(IF((24*(1-(8/E18)))&gt;0,(24*(1-(8/E18))),0)),(IF((24*(1-(8/E18)))&gt;0,(24*(1-(8/E18))),0)),((E10/71.85*E17)*8/E18))</f>
        <v>3.5978246110876633E-2</v>
      </c>
      <c r="F24" s="42">
        <f>IF(((F10/71.85*F17)*8/F18)&gt;(IF((24*(1-(8/F18)))&gt;0,(24*(1-(8/F18))),0)),(IF((24*(1-(8/F18)))&gt;0,(24*(1-(8/F18))),0)),((F10/71.85*F17)*8/F18))</f>
        <v>5.9903618443199136E-2</v>
      </c>
      <c r="K24" s="59"/>
      <c r="L24" s="59"/>
      <c r="M24" s="59"/>
      <c r="N24" s="59"/>
      <c r="O24" s="60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60"/>
      <c r="AD24" s="59"/>
      <c r="AE24" s="59"/>
      <c r="AF24" s="59"/>
      <c r="AG24" s="59"/>
      <c r="AH24" s="59"/>
      <c r="AI24" s="59"/>
    </row>
    <row r="25" spans="1:35">
      <c r="A25" s="55" t="s">
        <v>52</v>
      </c>
      <c r="B25" s="42">
        <f>IF(((B10/71.85*B17)*8/B18)&gt;B24,((B10/71.85*B17)*8/B18)-B24,0)</f>
        <v>1.0417220096917039</v>
      </c>
      <c r="C25" s="42">
        <f>IF(((C10/71.85*C17)*8/C18)&gt;C24,((C10/71.85*C17)*8/C18)-C24,0)</f>
        <v>1.081968616842232</v>
      </c>
      <c r="D25" s="42">
        <f>IF(((D10/71.85*D17)*8/D18)&gt;D24,((D10/71.85*D17)*8/D18)-D24,0)</f>
        <v>1.100295475396259</v>
      </c>
      <c r="E25" s="42">
        <f>IF(((E10/71.85*E17)*8/E18)&gt;E24,((E10/71.85*E17)*8/E18)-E24,0)</f>
        <v>1.05980591358857</v>
      </c>
      <c r="F25" s="42">
        <f>IF(((F10/71.85*F17)*8/F18)&gt;F24,((F10/71.85*F17)*8/F18)-F24,0)</f>
        <v>1.0280946869007683</v>
      </c>
      <c r="K25" s="59"/>
      <c r="L25" s="59"/>
      <c r="M25" s="59"/>
      <c r="N25" s="59"/>
      <c r="O25" s="60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60"/>
      <c r="AD25" s="59"/>
      <c r="AE25" s="59"/>
      <c r="AF25" s="59"/>
      <c r="AG25" s="59"/>
      <c r="AH25" s="59"/>
      <c r="AI25" s="59"/>
    </row>
    <row r="26" spans="1:35">
      <c r="A26" s="55" t="s">
        <v>24</v>
      </c>
      <c r="B26" s="42">
        <f>(B15/40.32*B17)*8/B18</f>
        <v>0.97270467743170796</v>
      </c>
      <c r="C26" s="42">
        <f>(C15/40.32*C17)*8/C18</f>
        <v>0.95665016857659291</v>
      </c>
      <c r="D26" s="42">
        <f>(D15/40.32*D17)*8/D18</f>
        <v>0.93111336466108385</v>
      </c>
      <c r="E26" s="42">
        <f>(E15/40.32*E17)*8/E18</f>
        <v>0.9286134639994007</v>
      </c>
      <c r="F26" s="42">
        <f>(F15/40.32*F17)*8/F18</f>
        <v>0.95285246474250263</v>
      </c>
      <c r="K26" s="59"/>
      <c r="L26" s="59"/>
      <c r="M26" s="59"/>
      <c r="N26" s="59"/>
      <c r="O26" s="60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59"/>
      <c r="AE26" s="59"/>
      <c r="AF26" s="59"/>
      <c r="AG26" s="59"/>
      <c r="AH26" s="59"/>
      <c r="AI26" s="59"/>
    </row>
    <row r="27" spans="1:35">
      <c r="A27" s="55" t="s">
        <v>25</v>
      </c>
      <c r="B27" s="42">
        <f>(B11/74.71*B17)*8/B18</f>
        <v>0</v>
      </c>
      <c r="C27" s="42">
        <f>(C11/74.71*C17)*8/C18</f>
        <v>0</v>
      </c>
      <c r="D27" s="42">
        <f>(D11/74.71*D17)*8/D18</f>
        <v>5.1211167581327929E-3</v>
      </c>
      <c r="E27" s="42">
        <f>(E11/74.71*E17)*8/E18</f>
        <v>1.2719807576930574E-3</v>
      </c>
      <c r="F27" s="42">
        <f>(F11/74.71*F17)*8/F18</f>
        <v>3.8281033772357533E-3</v>
      </c>
      <c r="K27" s="59"/>
      <c r="L27" s="59"/>
      <c r="M27" s="59"/>
      <c r="N27" s="59"/>
      <c r="O27" s="60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59"/>
      <c r="AE27" s="59"/>
      <c r="AF27" s="59"/>
      <c r="AG27" s="59"/>
      <c r="AH27" s="59"/>
      <c r="AI27" s="59"/>
    </row>
    <row r="28" spans="1:35">
      <c r="A28" s="55" t="s">
        <v>23</v>
      </c>
      <c r="B28" s="42">
        <f>(B9/70.94*B17)*8/B18</f>
        <v>1.1989601711489368E-2</v>
      </c>
      <c r="C28" s="42">
        <f>(C9/70.94*C17)*8/C18</f>
        <v>1.2691462992624079E-2</v>
      </c>
      <c r="D28" s="42">
        <f>(D9/70.94*D17)*8/D18</f>
        <v>6.7415885431368226E-3</v>
      </c>
      <c r="E28" s="42">
        <f>(E9/70.94*E17)*8/E18</f>
        <v>1.5405150094211386E-2</v>
      </c>
      <c r="F28" s="42">
        <f>(F9/70.94*F17)*8/F18</f>
        <v>1.6126168779999051E-2</v>
      </c>
      <c r="K28" s="59"/>
      <c r="L28" s="59"/>
      <c r="M28" s="59"/>
      <c r="N28" s="59"/>
      <c r="O28" s="60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60"/>
      <c r="AD28" s="59"/>
      <c r="AE28" s="59"/>
      <c r="AF28" s="59"/>
      <c r="AG28" s="59"/>
      <c r="AH28" s="59"/>
      <c r="AI28" s="59"/>
    </row>
    <row r="29" spans="1:35">
      <c r="A29" s="55" t="s">
        <v>26</v>
      </c>
      <c r="B29" s="42">
        <f>(B6/56.08*B17)*8/B18</f>
        <v>3.3703532470005385E-3</v>
      </c>
      <c r="C29" s="42">
        <f>(C6/56.08*C17)*8/C18</f>
        <v>0</v>
      </c>
      <c r="D29" s="42">
        <f>(D6/56.08*D17)*8/D18</f>
        <v>2.5583895751611599E-3</v>
      </c>
      <c r="E29" s="42">
        <f>(E6/56.08*E17)*8/E18</f>
        <v>0</v>
      </c>
      <c r="F29" s="42">
        <f>(F6/56.08*F17)*8/F18</f>
        <v>2.5499073048616547E-3</v>
      </c>
      <c r="K29" s="59"/>
      <c r="L29" s="59"/>
      <c r="M29" s="59"/>
      <c r="N29" s="59"/>
      <c r="O29" s="60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59"/>
      <c r="AE29" s="59"/>
      <c r="AF29" s="59"/>
      <c r="AG29" s="59"/>
      <c r="AH29" s="59"/>
      <c r="AI29" s="59"/>
    </row>
    <row r="30" spans="1:35">
      <c r="A30" s="55" t="s">
        <v>27</v>
      </c>
      <c r="B30" s="42">
        <f>(B12/61.982*B17*2)*8/B18</f>
        <v>1.524712094574152E-3</v>
      </c>
      <c r="C30" s="42">
        <f>(C12/61.982*C17*2)*8/C18</f>
        <v>4.5870654368080658E-3</v>
      </c>
      <c r="D30" s="42">
        <f>(D12/61.982*D17*2)*8/D18</f>
        <v>0</v>
      </c>
      <c r="E30" s="42">
        <f>(E12/61.982*E17*2)*8/E18</f>
        <v>0</v>
      </c>
      <c r="F30" s="42">
        <f>(F12/61.982*F17*2)*8/F18</f>
        <v>4.6142041772334417E-3</v>
      </c>
      <c r="K30" s="59"/>
      <c r="L30" s="59"/>
      <c r="M30" s="59"/>
      <c r="N30" s="59"/>
      <c r="O30" s="60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59"/>
      <c r="AE30" s="59"/>
      <c r="AF30" s="59"/>
      <c r="AG30" s="59"/>
      <c r="AH30" s="59"/>
      <c r="AI30" s="59"/>
    </row>
    <row r="31" spans="1:35">
      <c r="A31" s="55" t="s">
        <v>28</v>
      </c>
      <c r="B31" s="42">
        <f>(B5/94.2*B17*2)*8/B18</f>
        <v>1.0032346607844488E-3</v>
      </c>
      <c r="C31" s="42">
        <f>(C5/94.2*C17*2)*8/C18</f>
        <v>2.0121407636534854E-3</v>
      </c>
      <c r="D31" s="42">
        <f>(D5/94.2*D17*2)*8/D18</f>
        <v>0</v>
      </c>
      <c r="E31" s="42">
        <f>(E5/94.2*E17*2)*8/E18</f>
        <v>0</v>
      </c>
      <c r="F31" s="42">
        <f>(F5/94.2*F17*2)*8/F18</f>
        <v>0</v>
      </c>
      <c r="K31" s="59"/>
      <c r="L31" s="59"/>
      <c r="M31" s="59"/>
      <c r="N31" s="59"/>
      <c r="O31" s="60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59"/>
      <c r="AE31" s="59"/>
      <c r="AF31" s="59"/>
      <c r="AG31" s="59"/>
      <c r="AH31" s="59"/>
      <c r="AI31" s="59"/>
    </row>
    <row r="32" spans="1:35">
      <c r="A32" s="39" t="s">
        <v>10</v>
      </c>
      <c r="B32" s="42">
        <f>B10*(B25/(B25+B24))</f>
        <v>15.84</v>
      </c>
      <c r="C32" s="42">
        <f>C10*(C25/(C25+C24))</f>
        <v>16.405601779832335</v>
      </c>
      <c r="D32" s="42">
        <f>D10*(D25/(D25+D24))</f>
        <v>16.530373731304021</v>
      </c>
      <c r="E32" s="42">
        <f>E10*(E25/(E25+E24))</f>
        <v>16.025951673712147</v>
      </c>
      <c r="F32" s="42">
        <f>F10*(F25/(F25+F24))</f>
        <v>15.497039639084843</v>
      </c>
      <c r="K32" s="59"/>
      <c r="L32" s="59"/>
      <c r="M32" s="59"/>
      <c r="N32" s="59"/>
      <c r="O32" s="60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59"/>
      <c r="AE32" s="59"/>
      <c r="AF32" s="59"/>
      <c r="AG32" s="59"/>
      <c r="AH32" s="59"/>
      <c r="AI32" s="59"/>
    </row>
    <row r="33" spans="1:35">
      <c r="A33" s="39" t="s">
        <v>101</v>
      </c>
      <c r="B33" s="42">
        <f>1.1113*B10*(B24/(B24+B25))</f>
        <v>0</v>
      </c>
      <c r="C33" s="42">
        <f>1.1113*C10*(C24/(C24+C25))</f>
        <v>4.933974207232418E-2</v>
      </c>
      <c r="D33" s="42">
        <f>1.1113*D10*(D24/(D24+D25))</f>
        <v>9.9601672401840619E-2</v>
      </c>
      <c r="E33" s="42">
        <f>1.1113*E10*(E24/(E24+E25))</f>
        <v>0.60460090500369146</v>
      </c>
      <c r="F33" s="42">
        <f>1.1113*F10*(F24/(F24+F25))</f>
        <v>1.0034598490850115</v>
      </c>
      <c r="K33" s="59"/>
      <c r="L33" s="59"/>
      <c r="M33" s="59"/>
      <c r="N33" s="59"/>
      <c r="O33" s="60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59"/>
      <c r="AE33" s="59"/>
      <c r="AF33" s="59"/>
      <c r="AG33" s="59"/>
      <c r="AH33" s="59"/>
      <c r="AI33" s="59"/>
    </row>
    <row r="34" spans="1:35">
      <c r="A34" s="39" t="s">
        <v>209</v>
      </c>
      <c r="B34" s="42">
        <f>B33+B32+B11+B15+B14+B13+B12+B8+B9+B7+B6+B5</f>
        <v>92.79</v>
      </c>
      <c r="C34" s="42">
        <f>C33+C32+C11+C15+C14+C13+C12+C8+C9+C7+C6+C5</f>
        <v>92.734941521904645</v>
      </c>
      <c r="D34" s="42">
        <f>D33+D32+D11+D15+D14+D13+D12+D8+D9+D7+D6+D5</f>
        <v>91.999975403705847</v>
      </c>
      <c r="E34" s="42">
        <f>E33+E32+E11+E15+E14+E13+E12+E8+E9+E7+E6+E5</f>
        <v>92.550552578715823</v>
      </c>
      <c r="F34" s="42">
        <f>F33+F32+F11+F15+F14+F13+F12+F8+F9+F7+F6+F5</f>
        <v>92.220499488169835</v>
      </c>
      <c r="K34" s="59"/>
      <c r="L34" s="59"/>
      <c r="M34" s="59"/>
      <c r="N34" s="59"/>
      <c r="O34" s="60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59"/>
      <c r="AE34" s="59"/>
      <c r="AF34" s="59"/>
      <c r="AG34" s="59"/>
      <c r="AH34" s="59"/>
      <c r="AI34" s="59"/>
    </row>
    <row r="35" spans="1:35">
      <c r="A35" s="39" t="s">
        <v>210</v>
      </c>
      <c r="B35" s="42">
        <f>(B25+B28)/(B25+B26+B28+B29)</f>
        <v>0.51912432053569313</v>
      </c>
      <c r="C35" s="42">
        <f>(C25+C28)/(C25+C26+C28+C29)</f>
        <v>0.53363945345789099</v>
      </c>
      <c r="D35" s="42">
        <f>(D25+D28)/(D25+D26+D28+D29)</f>
        <v>0.5424767385133703</v>
      </c>
      <c r="E35" s="42">
        <f>(E25+E28)/(E25+E26+E28+E29)</f>
        <v>0.53657945036059373</v>
      </c>
      <c r="F35" s="42">
        <f>(F25+F28)/(F25+F26+F28+F29)</f>
        <v>0.52220880473925935</v>
      </c>
      <c r="K35" s="59"/>
      <c r="L35" s="59"/>
      <c r="M35" s="59"/>
      <c r="N35" s="59"/>
      <c r="O35" s="60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59"/>
      <c r="AE35" s="59"/>
      <c r="AF35" s="59"/>
      <c r="AG35" s="59"/>
      <c r="AH35" s="59"/>
      <c r="AI35" s="59"/>
    </row>
    <row r="36" spans="1:35">
      <c r="A36" s="39" t="s">
        <v>211</v>
      </c>
      <c r="B36" s="42">
        <f>B29/(B25+B26+B28+B29)</f>
        <v>1.6604470524762402E-3</v>
      </c>
      <c r="C36" s="42">
        <f>C29/(C25+C26+C28+C29)</f>
        <v>0</v>
      </c>
      <c r="D36" s="42">
        <f>D29/(D25+D26+D28+D29)</f>
        <v>1.2536769343939609E-3</v>
      </c>
      <c r="E36" s="42">
        <f>E29/(E25+E26+E28+E29)</f>
        <v>0</v>
      </c>
      <c r="F36" s="42">
        <f>F29/(F25+F26+F28+F29)</f>
        <v>1.2751938812786885E-3</v>
      </c>
      <c r="K36" s="59"/>
      <c r="L36" s="59"/>
      <c r="M36" s="59"/>
      <c r="N36" s="59"/>
      <c r="O36" s="60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59"/>
      <c r="AE36" s="59"/>
      <c r="AF36" s="59"/>
      <c r="AG36" s="59"/>
      <c r="AH36" s="59"/>
      <c r="AI36" s="59"/>
    </row>
    <row r="37" spans="1:35">
      <c r="A37" s="39" t="s">
        <v>212</v>
      </c>
      <c r="B37" s="42">
        <f>B26/(B25+B26+B28+B29)</f>
        <v>0.47921523241183078</v>
      </c>
      <c r="C37" s="42">
        <f>C26/(C25+C26+C28+C29)</f>
        <v>0.46636054654210912</v>
      </c>
      <c r="D37" s="42">
        <f>D26/(D25+D26+D28+D29)</f>
        <v>0.45626958455223593</v>
      </c>
      <c r="E37" s="42">
        <f>E26/(E25+E26+E28+E29)</f>
        <v>0.46342054963940643</v>
      </c>
      <c r="F37" s="42">
        <f>F26/(F25+F26+F28+F29)</f>
        <v>0.47651600137946204</v>
      </c>
      <c r="K37" s="59"/>
      <c r="L37" s="59"/>
      <c r="M37" s="59"/>
      <c r="N37" s="59"/>
      <c r="O37" s="60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59"/>
      <c r="AE37" s="59"/>
      <c r="AF37" s="59"/>
      <c r="AG37" s="59"/>
      <c r="AH37" s="59"/>
      <c r="AI37" s="59"/>
    </row>
    <row r="38" spans="1:35">
      <c r="A38" s="39" t="s">
        <v>213</v>
      </c>
      <c r="B38" s="42">
        <f>B26/(B26+B25)</f>
        <v>0.482869237013894</v>
      </c>
      <c r="C38" s="42">
        <f>C26/(C26+C25)</f>
        <v>0.46926388367408944</v>
      </c>
      <c r="D38" s="42">
        <f>D26/(D26+D25)</f>
        <v>0.45835842903725887</v>
      </c>
      <c r="E38" s="42">
        <f>E26/(E26+E25)</f>
        <v>0.46701087027518545</v>
      </c>
      <c r="F38" s="42">
        <f>F26/(F26+F25)</f>
        <v>0.48100852360047835</v>
      </c>
      <c r="K38" s="59"/>
      <c r="L38" s="59"/>
      <c r="M38" s="59"/>
      <c r="N38" s="59"/>
      <c r="O38" s="6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59"/>
      <c r="AE38" s="59"/>
      <c r="AF38" s="59"/>
      <c r="AG38" s="59"/>
      <c r="AH38" s="59"/>
      <c r="AI38" s="59"/>
    </row>
  </sheetData>
  <printOptions gridLines="1" gridLinesSet="0"/>
  <pageMargins left="0.75" right="0.75" top="1" bottom="1" header="0.5" footer="0.5"/>
  <pageSetup paperSize="9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40"/>
  <sheetViews>
    <sheetView workbookViewId="0">
      <selection activeCell="B20" sqref="B20"/>
    </sheetView>
  </sheetViews>
  <sheetFormatPr baseColWidth="10" defaultRowHeight="14"/>
  <cols>
    <col min="1" max="1" width="8.140625" style="64" customWidth="1"/>
    <col min="2" max="3" width="5.28515625" style="20" customWidth="1"/>
    <col min="4" max="21" width="5.28515625" style="46" customWidth="1"/>
    <col min="22" max="25" width="4.5703125" style="65" customWidth="1"/>
    <col min="26" max="26" width="4.5703125" style="2" customWidth="1"/>
    <col min="27" max="39" width="4.5703125" style="65" customWidth="1"/>
    <col min="40" max="40" width="4.5703125" style="2" customWidth="1"/>
    <col min="41" max="46" width="4.5703125" style="65" customWidth="1"/>
    <col min="47" max="48" width="5.28515625" style="2" customWidth="1"/>
    <col min="49" max="243" width="11" style="2" customWidth="1"/>
    <col min="244" max="16384" width="10.7109375" style="2"/>
  </cols>
  <sheetData>
    <row r="1" spans="1:78" s="62" customFormat="1" ht="13">
      <c r="C1" s="62" t="s">
        <v>64</v>
      </c>
      <c r="D1" s="63"/>
      <c r="E1" s="63" t="s">
        <v>65</v>
      </c>
      <c r="F1" s="63"/>
      <c r="G1" s="63"/>
      <c r="H1" s="63" t="s">
        <v>66</v>
      </c>
      <c r="I1" s="63"/>
      <c r="J1" s="63"/>
      <c r="K1" s="63" t="s">
        <v>214</v>
      </c>
      <c r="L1" s="63" t="s">
        <v>68</v>
      </c>
      <c r="M1" s="63"/>
      <c r="N1" s="63"/>
      <c r="O1" s="63"/>
      <c r="P1" s="63"/>
      <c r="Q1" s="63"/>
      <c r="R1" s="63"/>
      <c r="S1" s="63"/>
      <c r="T1" s="63" t="s">
        <v>69</v>
      </c>
      <c r="U1" s="63"/>
      <c r="V1" s="63"/>
      <c r="W1" s="63"/>
      <c r="X1" s="63"/>
      <c r="Y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O1" s="63"/>
      <c r="AP1" s="63"/>
      <c r="AQ1" s="63"/>
      <c r="AR1" s="63"/>
      <c r="AS1" s="63"/>
      <c r="AT1" s="63"/>
    </row>
    <row r="3" spans="1:78">
      <c r="A3" s="44" t="s">
        <v>0</v>
      </c>
      <c r="B3" s="2" t="s">
        <v>215</v>
      </c>
      <c r="C3" s="2" t="s">
        <v>71</v>
      </c>
      <c r="D3" s="2" t="s">
        <v>216</v>
      </c>
      <c r="E3" s="2" t="s">
        <v>72</v>
      </c>
      <c r="F3" s="2" t="s">
        <v>72</v>
      </c>
      <c r="G3" s="2" t="s">
        <v>72</v>
      </c>
      <c r="H3" s="10" t="s">
        <v>2</v>
      </c>
      <c r="I3" s="10" t="s">
        <v>2</v>
      </c>
      <c r="J3" s="10" t="s">
        <v>2</v>
      </c>
      <c r="K3" s="2" t="s">
        <v>217</v>
      </c>
      <c r="L3" s="10" t="s">
        <v>75</v>
      </c>
      <c r="M3" s="10" t="s">
        <v>75</v>
      </c>
      <c r="N3" s="10" t="s">
        <v>75</v>
      </c>
      <c r="O3" s="10" t="s">
        <v>75</v>
      </c>
      <c r="P3" s="10" t="s">
        <v>75</v>
      </c>
      <c r="Q3" s="10" t="s">
        <v>75</v>
      </c>
      <c r="R3" s="10" t="s">
        <v>75</v>
      </c>
      <c r="S3" s="10" t="s">
        <v>75</v>
      </c>
      <c r="T3" s="2">
        <v>931</v>
      </c>
      <c r="U3" s="2">
        <v>931</v>
      </c>
      <c r="V3" s="2"/>
      <c r="W3" s="2"/>
      <c r="X3" s="2"/>
      <c r="Y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O3" s="2"/>
      <c r="AP3" s="2"/>
      <c r="AQ3" s="2"/>
      <c r="AR3" s="2"/>
      <c r="AS3" s="2"/>
      <c r="AT3" s="2"/>
      <c r="AY3" s="66"/>
    </row>
    <row r="4" spans="1:78">
      <c r="A4" s="44" t="s">
        <v>4</v>
      </c>
      <c r="B4" s="2">
        <v>31</v>
      </c>
      <c r="C4" s="2" t="s">
        <v>218</v>
      </c>
      <c r="D4" s="2">
        <v>130</v>
      </c>
      <c r="E4" s="2" t="s">
        <v>219</v>
      </c>
      <c r="F4" s="2" t="s">
        <v>220</v>
      </c>
      <c r="G4" s="2" t="s">
        <v>221</v>
      </c>
      <c r="H4" s="10" t="s">
        <v>222</v>
      </c>
      <c r="I4" s="10" t="s">
        <v>223</v>
      </c>
      <c r="J4" s="10">
        <v>22</v>
      </c>
      <c r="K4" s="2">
        <v>34</v>
      </c>
      <c r="L4" s="10" t="s">
        <v>224</v>
      </c>
      <c r="M4" s="10" t="s">
        <v>225</v>
      </c>
      <c r="N4" s="10" t="s">
        <v>226</v>
      </c>
      <c r="O4" s="10" t="s">
        <v>227</v>
      </c>
      <c r="P4" s="10" t="s">
        <v>228</v>
      </c>
      <c r="Q4" s="10" t="s">
        <v>34</v>
      </c>
      <c r="R4" s="10" t="s">
        <v>229</v>
      </c>
      <c r="S4" s="10" t="s">
        <v>230</v>
      </c>
      <c r="T4" s="2" t="s">
        <v>231</v>
      </c>
      <c r="U4" s="2" t="s">
        <v>232</v>
      </c>
      <c r="V4" s="2"/>
      <c r="W4" s="2"/>
      <c r="X4" s="2"/>
      <c r="Y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O4" s="2"/>
      <c r="AP4" s="2"/>
      <c r="AQ4" s="2"/>
      <c r="AR4" s="2"/>
      <c r="AS4" s="2"/>
      <c r="AT4" s="2"/>
      <c r="AY4" s="66"/>
    </row>
    <row r="5" spans="1:78">
      <c r="A5" s="64" t="s">
        <v>5</v>
      </c>
      <c r="B5" s="2">
        <v>1.2999999999999999E-2</v>
      </c>
      <c r="C5">
        <v>0.02</v>
      </c>
      <c r="D5">
        <v>0</v>
      </c>
      <c r="E5">
        <v>0.02</v>
      </c>
      <c r="F5">
        <v>0.03</v>
      </c>
      <c r="G5">
        <v>0</v>
      </c>
      <c r="H5" s="21">
        <v>0</v>
      </c>
      <c r="I5" s="21">
        <v>0</v>
      </c>
      <c r="J5" s="21">
        <v>0.03</v>
      </c>
      <c r="K5">
        <v>0.04</v>
      </c>
      <c r="L5" s="21">
        <v>0.01</v>
      </c>
      <c r="M5" s="21">
        <v>0.02</v>
      </c>
      <c r="N5" s="21">
        <v>0</v>
      </c>
      <c r="O5" s="21">
        <v>0.04</v>
      </c>
      <c r="P5" s="21">
        <v>0</v>
      </c>
      <c r="Q5" s="21">
        <v>0</v>
      </c>
      <c r="R5" s="21">
        <v>0</v>
      </c>
      <c r="S5" s="21">
        <v>0</v>
      </c>
      <c r="T5">
        <v>0.06</v>
      </c>
      <c r="U5">
        <v>0.03</v>
      </c>
      <c r="V5" s="67"/>
      <c r="W5" s="67"/>
      <c r="X5" s="67"/>
      <c r="Y5" s="67"/>
      <c r="Z5" s="67"/>
      <c r="AA5" s="2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8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</row>
    <row r="6" spans="1:78">
      <c r="A6" s="64" t="s">
        <v>6</v>
      </c>
      <c r="B6" s="2">
        <v>22.18</v>
      </c>
      <c r="C6">
        <v>33</v>
      </c>
      <c r="D6">
        <v>23.15</v>
      </c>
      <c r="E6">
        <v>23.06</v>
      </c>
      <c r="F6">
        <v>23.57</v>
      </c>
      <c r="G6">
        <v>22.84</v>
      </c>
      <c r="H6" s="21">
        <v>21.06</v>
      </c>
      <c r="I6" s="21">
        <v>22.89</v>
      </c>
      <c r="J6" s="21">
        <v>22.9</v>
      </c>
      <c r="K6">
        <v>23.92</v>
      </c>
      <c r="L6" s="21">
        <v>24.19</v>
      </c>
      <c r="M6" s="21">
        <v>24.22</v>
      </c>
      <c r="N6" s="21">
        <v>24.62</v>
      </c>
      <c r="O6" s="21">
        <v>24.71</v>
      </c>
      <c r="P6" s="21">
        <v>24.39</v>
      </c>
      <c r="Q6" s="21">
        <v>24.57</v>
      </c>
      <c r="R6" s="21">
        <v>23.87</v>
      </c>
      <c r="S6" s="21">
        <v>24.14</v>
      </c>
      <c r="T6">
        <v>23.92</v>
      </c>
      <c r="U6">
        <v>23.18</v>
      </c>
      <c r="V6" s="67"/>
      <c r="W6" s="67"/>
      <c r="X6" s="67"/>
      <c r="Y6" s="67"/>
      <c r="Z6" s="67"/>
      <c r="AA6" s="2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8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</row>
    <row r="7" spans="1:78">
      <c r="A7" s="64" t="s">
        <v>7</v>
      </c>
      <c r="B7" s="2">
        <v>0.02</v>
      </c>
      <c r="C7">
        <v>0.01</v>
      </c>
      <c r="D7">
        <v>0.12</v>
      </c>
      <c r="E7">
        <v>0.2</v>
      </c>
      <c r="F7">
        <v>0.15</v>
      </c>
      <c r="G7">
        <v>7.0000000000000007E-2</v>
      </c>
      <c r="H7" s="21">
        <v>0.26</v>
      </c>
      <c r="I7" s="21">
        <v>0.13</v>
      </c>
      <c r="J7" s="21">
        <v>0.11</v>
      </c>
      <c r="K7">
        <v>7.0000000000000007E-2</v>
      </c>
      <c r="L7" s="21">
        <v>0.03</v>
      </c>
      <c r="M7" s="21">
        <v>7.0000000000000007E-2</v>
      </c>
      <c r="N7" s="21">
        <v>0.01</v>
      </c>
      <c r="O7" s="21">
        <v>0.05</v>
      </c>
      <c r="P7" s="21">
        <v>0.16</v>
      </c>
      <c r="Q7" s="21">
        <v>7.0000000000000007E-2</v>
      </c>
      <c r="R7" s="21">
        <v>0.04</v>
      </c>
      <c r="S7" s="21">
        <v>0.01</v>
      </c>
      <c r="T7">
        <v>0.16</v>
      </c>
      <c r="U7">
        <v>0.08</v>
      </c>
      <c r="V7" s="67"/>
      <c r="W7" s="67"/>
      <c r="X7" s="67"/>
      <c r="Y7" s="67"/>
      <c r="Z7" s="67"/>
      <c r="AA7" s="2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8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</row>
    <row r="8" spans="1:78">
      <c r="A8" s="64" t="s">
        <v>8</v>
      </c>
      <c r="B8" s="2">
        <v>0</v>
      </c>
      <c r="C8">
        <v>0</v>
      </c>
      <c r="D8">
        <v>0</v>
      </c>
      <c r="E8">
        <v>0.09</v>
      </c>
      <c r="F8">
        <v>0.04</v>
      </c>
      <c r="G8">
        <v>0.12</v>
      </c>
      <c r="H8" s="21">
        <v>0</v>
      </c>
      <c r="I8" s="21">
        <v>0</v>
      </c>
      <c r="J8" s="21">
        <v>0</v>
      </c>
      <c r="K8">
        <v>0.17</v>
      </c>
      <c r="L8" s="21">
        <v>0.02</v>
      </c>
      <c r="M8" s="21">
        <v>0.05</v>
      </c>
      <c r="N8" s="21">
        <v>0.11</v>
      </c>
      <c r="O8" s="21">
        <v>0</v>
      </c>
      <c r="P8" s="21">
        <v>0.05</v>
      </c>
      <c r="Q8" s="21">
        <v>7.0000000000000007E-2</v>
      </c>
      <c r="R8" s="21">
        <v>0</v>
      </c>
      <c r="S8" s="21">
        <v>0.04</v>
      </c>
      <c r="T8">
        <v>0.14000000000000001</v>
      </c>
      <c r="U8">
        <v>0.35</v>
      </c>
      <c r="V8" s="67"/>
      <c r="W8" s="67"/>
      <c r="X8" s="67"/>
      <c r="Y8" s="67"/>
      <c r="Z8" s="67"/>
      <c r="AA8" s="2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8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</row>
    <row r="9" spans="1:78">
      <c r="A9" s="64" t="s">
        <v>9</v>
      </c>
      <c r="B9" s="2">
        <v>0.11700000000000001</v>
      </c>
      <c r="C9">
        <v>0.06</v>
      </c>
      <c r="D9">
        <v>0.09</v>
      </c>
      <c r="E9">
        <v>0</v>
      </c>
      <c r="F9">
        <v>0.06</v>
      </c>
      <c r="G9">
        <v>0.2</v>
      </c>
      <c r="H9" s="21">
        <v>0</v>
      </c>
      <c r="I9" s="21">
        <v>0</v>
      </c>
      <c r="J9" s="21">
        <v>0</v>
      </c>
      <c r="K9">
        <v>0</v>
      </c>
      <c r="L9" s="21">
        <v>0</v>
      </c>
      <c r="M9" s="21">
        <v>0.08</v>
      </c>
      <c r="N9" s="21">
        <v>0</v>
      </c>
      <c r="O9" s="21">
        <v>0</v>
      </c>
      <c r="P9" s="21">
        <v>0</v>
      </c>
      <c r="Q9" s="21">
        <v>1.1100000000000001</v>
      </c>
      <c r="R9" s="21">
        <v>0.05</v>
      </c>
      <c r="S9" s="21">
        <v>0</v>
      </c>
      <c r="T9">
        <v>0.04</v>
      </c>
      <c r="U9">
        <v>0.05</v>
      </c>
      <c r="V9" s="67"/>
      <c r="W9" s="67"/>
      <c r="X9" s="67"/>
      <c r="Y9" s="67"/>
      <c r="Z9" s="67"/>
      <c r="AA9" s="2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8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</row>
    <row r="10" spans="1:78">
      <c r="A10" s="64" t="s">
        <v>118</v>
      </c>
      <c r="B10" s="2">
        <v>12.364000000000001</v>
      </c>
      <c r="C10">
        <v>25.35</v>
      </c>
      <c r="D10">
        <v>14.1</v>
      </c>
      <c r="E10">
        <v>6.17</v>
      </c>
      <c r="F10">
        <v>6.01</v>
      </c>
      <c r="G10">
        <v>7</v>
      </c>
      <c r="H10" s="21">
        <v>5.78</v>
      </c>
      <c r="I10" s="21">
        <v>6.01</v>
      </c>
      <c r="J10" s="21">
        <v>7.77</v>
      </c>
      <c r="K10">
        <v>1.95</v>
      </c>
      <c r="L10" s="21">
        <v>1.57</v>
      </c>
      <c r="M10" s="21">
        <v>1.55</v>
      </c>
      <c r="N10" s="21">
        <v>1.24</v>
      </c>
      <c r="O10" s="21">
        <v>1.64</v>
      </c>
      <c r="P10" s="21">
        <v>1.6</v>
      </c>
      <c r="Q10" s="21">
        <v>1.58</v>
      </c>
      <c r="R10" s="21">
        <v>2.0099999999999998</v>
      </c>
      <c r="S10" s="21">
        <v>1.5</v>
      </c>
      <c r="T10">
        <v>7.06</v>
      </c>
      <c r="U10">
        <v>7.63</v>
      </c>
      <c r="V10" s="67"/>
      <c r="W10" s="67"/>
      <c r="X10" s="67"/>
      <c r="Y10" s="67"/>
      <c r="Z10" s="67"/>
      <c r="AA10" s="2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8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</row>
    <row r="11" spans="1:78">
      <c r="A11" s="64" t="s">
        <v>11</v>
      </c>
      <c r="B11" s="2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1">
        <v>0</v>
      </c>
      <c r="I11" s="21">
        <v>0</v>
      </c>
      <c r="J11" s="21">
        <v>0</v>
      </c>
      <c r="K1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>
        <v>0</v>
      </c>
      <c r="U11">
        <v>0.03</v>
      </c>
      <c r="V11" s="67"/>
      <c r="W11" s="67"/>
      <c r="X11" s="67"/>
      <c r="Y11" s="67"/>
      <c r="Z11" s="67"/>
      <c r="AA11" s="2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8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</row>
    <row r="12" spans="1:78">
      <c r="A12" s="64" t="s">
        <v>12</v>
      </c>
      <c r="B12" s="2">
        <v>0.106</v>
      </c>
      <c r="C12">
        <v>0.01</v>
      </c>
      <c r="D12">
        <v>0</v>
      </c>
      <c r="E12">
        <v>0</v>
      </c>
      <c r="F12">
        <v>0</v>
      </c>
      <c r="G12">
        <v>0</v>
      </c>
      <c r="H12" s="21">
        <v>0.02</v>
      </c>
      <c r="I12" s="21">
        <v>0</v>
      </c>
      <c r="J12" s="21">
        <v>0</v>
      </c>
      <c r="K12">
        <v>0.01</v>
      </c>
      <c r="L12" s="21">
        <v>0</v>
      </c>
      <c r="M12" s="21">
        <v>0</v>
      </c>
      <c r="N12" s="21">
        <v>0</v>
      </c>
      <c r="O12" s="21">
        <v>0.02</v>
      </c>
      <c r="P12" s="21">
        <v>0.01</v>
      </c>
      <c r="Q12" s="21">
        <v>0.03</v>
      </c>
      <c r="R12" s="21">
        <v>0.06</v>
      </c>
      <c r="S12" s="21">
        <v>0.02</v>
      </c>
      <c r="T12">
        <v>0.01</v>
      </c>
      <c r="U12">
        <v>0</v>
      </c>
      <c r="V12" s="67"/>
      <c r="W12" s="67"/>
      <c r="X12" s="67"/>
      <c r="Y12" s="67"/>
      <c r="Z12" s="67"/>
      <c r="AA12" s="2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8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</row>
    <row r="13" spans="1:78">
      <c r="A13" s="64" t="s">
        <v>13</v>
      </c>
      <c r="B13" s="2">
        <v>38.58</v>
      </c>
      <c r="C13">
        <v>35.770000000000003</v>
      </c>
      <c r="D13">
        <v>37.83</v>
      </c>
      <c r="E13">
        <v>38.89</v>
      </c>
      <c r="F13">
        <v>38.65</v>
      </c>
      <c r="G13">
        <v>38.659999999999997</v>
      </c>
      <c r="H13" s="21">
        <v>37.049999999999997</v>
      </c>
      <c r="I13" s="21">
        <v>39.020000000000003</v>
      </c>
      <c r="J13" s="21">
        <v>37.950000000000003</v>
      </c>
      <c r="K13">
        <v>39.090000000000003</v>
      </c>
      <c r="L13" s="21">
        <v>38.58</v>
      </c>
      <c r="M13" s="21">
        <v>39.200000000000003</v>
      </c>
      <c r="N13" s="21">
        <v>39.07</v>
      </c>
      <c r="O13" s="21">
        <v>39.869999999999997</v>
      </c>
      <c r="P13" s="21">
        <v>39.64</v>
      </c>
      <c r="Q13" s="21">
        <v>40.46</v>
      </c>
      <c r="R13" s="21">
        <v>39.51</v>
      </c>
      <c r="S13" s="21">
        <v>39.86</v>
      </c>
      <c r="T13">
        <v>38.9</v>
      </c>
      <c r="U13">
        <v>38.880000000000003</v>
      </c>
      <c r="V13" s="67"/>
      <c r="W13" s="67"/>
      <c r="X13" s="67"/>
      <c r="Y13" s="67"/>
      <c r="Z13" s="67"/>
      <c r="AA13" s="2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8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</row>
    <row r="14" spans="1:78">
      <c r="A14" s="64" t="s">
        <v>14</v>
      </c>
      <c r="B14" s="2">
        <v>22.102</v>
      </c>
      <c r="C14">
        <v>1.59</v>
      </c>
      <c r="D14">
        <v>22.78</v>
      </c>
      <c r="E14">
        <v>28.34</v>
      </c>
      <c r="F14">
        <v>28.39</v>
      </c>
      <c r="G14">
        <v>27.16</v>
      </c>
      <c r="H14" s="21">
        <v>27.6</v>
      </c>
      <c r="I14" s="21">
        <v>28.92</v>
      </c>
      <c r="J14" s="21">
        <v>27.01</v>
      </c>
      <c r="K14">
        <v>31.79</v>
      </c>
      <c r="L14" s="21">
        <v>30.96</v>
      </c>
      <c r="M14" s="21">
        <v>31.44</v>
      </c>
      <c r="N14" s="21">
        <v>31.6</v>
      </c>
      <c r="O14" s="21">
        <v>31.3</v>
      </c>
      <c r="P14" s="21">
        <v>32.159999999999997</v>
      </c>
      <c r="Q14" s="21">
        <v>32.36</v>
      </c>
      <c r="R14" s="21">
        <v>31.9</v>
      </c>
      <c r="S14" s="21">
        <v>32.33</v>
      </c>
      <c r="T14">
        <v>27.59</v>
      </c>
      <c r="U14">
        <v>26.8</v>
      </c>
      <c r="V14" s="67"/>
      <c r="W14" s="67"/>
      <c r="X14" s="67"/>
      <c r="Y14" s="67"/>
      <c r="Z14" s="67"/>
      <c r="AA14" s="2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8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</row>
    <row r="15" spans="1:78">
      <c r="A15" s="64" t="s">
        <v>15</v>
      </c>
      <c r="B15" s="2">
        <v>1.6E-2</v>
      </c>
      <c r="C15">
        <v>7.0000000000000007E-2</v>
      </c>
      <c r="D15">
        <v>0</v>
      </c>
      <c r="E15">
        <v>0.23</v>
      </c>
      <c r="F15">
        <v>0.18</v>
      </c>
      <c r="G15">
        <v>0.14000000000000001</v>
      </c>
      <c r="H15" s="21">
        <v>0.36</v>
      </c>
      <c r="I15" s="21">
        <v>7.0000000000000007E-2</v>
      </c>
      <c r="J15" s="21">
        <v>0</v>
      </c>
      <c r="K15">
        <v>0.14000000000000001</v>
      </c>
      <c r="L15" s="21">
        <v>0.02</v>
      </c>
      <c r="M15" s="21">
        <v>0.08</v>
      </c>
      <c r="N15" s="21">
        <v>0.12</v>
      </c>
      <c r="O15" s="21">
        <v>0.05</v>
      </c>
      <c r="P15" s="21">
        <v>0.05</v>
      </c>
      <c r="Q15" s="21">
        <v>0.06</v>
      </c>
      <c r="R15" s="21">
        <v>0.11</v>
      </c>
      <c r="S15" s="21">
        <v>0.08</v>
      </c>
      <c r="T15">
        <v>0.14000000000000001</v>
      </c>
      <c r="U15">
        <v>0.08</v>
      </c>
      <c r="V15" s="67"/>
      <c r="W15" s="67"/>
      <c r="X15" s="67"/>
      <c r="Y15" s="67"/>
      <c r="Z15" s="67"/>
      <c r="AA15" s="2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8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</row>
    <row r="16" spans="1:78">
      <c r="A16" s="44" t="s">
        <v>16</v>
      </c>
      <c r="B16" s="46">
        <f t="shared" ref="B16:Q16" si="0">SUM(B5:B15)</f>
        <v>95.498000000000005</v>
      </c>
      <c r="C16" s="46">
        <f t="shared" si="0"/>
        <v>95.88</v>
      </c>
      <c r="D16" s="46">
        <f t="shared" si="0"/>
        <v>98.07</v>
      </c>
      <c r="E16" s="46">
        <f t="shared" si="0"/>
        <v>97.000000000000014</v>
      </c>
      <c r="F16" s="46">
        <f t="shared" si="0"/>
        <v>97.08</v>
      </c>
      <c r="G16" s="46">
        <f t="shared" si="0"/>
        <v>96.19</v>
      </c>
      <c r="H16" s="46">
        <f t="shared" si="0"/>
        <v>92.13000000000001</v>
      </c>
      <c r="I16" s="46">
        <f t="shared" si="0"/>
        <v>97.04</v>
      </c>
      <c r="J16" s="46">
        <f t="shared" si="0"/>
        <v>95.77000000000001</v>
      </c>
      <c r="K16" s="46">
        <f t="shared" si="0"/>
        <v>97.179999999999993</v>
      </c>
      <c r="L16" s="46">
        <f t="shared" si="0"/>
        <v>95.38000000000001</v>
      </c>
      <c r="M16" s="46">
        <f t="shared" si="0"/>
        <v>96.71</v>
      </c>
      <c r="N16" s="46">
        <f t="shared" si="0"/>
        <v>96.77000000000001</v>
      </c>
      <c r="O16" s="46">
        <f t="shared" si="0"/>
        <v>97.679999999999993</v>
      </c>
      <c r="P16" s="46">
        <f t="shared" si="0"/>
        <v>98.06</v>
      </c>
      <c r="Q16" s="46">
        <f t="shared" si="0"/>
        <v>100.31</v>
      </c>
      <c r="R16" s="46">
        <f>SUM(R5:R15)</f>
        <v>97.55</v>
      </c>
      <c r="S16" s="46">
        <f>SUM(S5:S15)</f>
        <v>97.97999999999999</v>
      </c>
      <c r="T16" s="46">
        <f>SUM(T5:T15)</f>
        <v>98.02</v>
      </c>
      <c r="U16" s="46">
        <f>SUM(U5:U15)</f>
        <v>97.11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</row>
    <row r="17" spans="1:78" hidden="1">
      <c r="A17" s="64" t="s">
        <v>206</v>
      </c>
      <c r="B17" s="46">
        <f t="shared" ref="B17:Q17" si="1">12.5/((B6/56.08)+(B7/79.9*2)+(B10/71.85)+(B9/70.94)+(B8/152.02*3)+(B13/60.09*2)+(B14/101.94*3)+(B15/40.32)+(B11/74.71)+(B5/94.2)+(B12/61.982))</f>
        <v>4.9870389274686788</v>
      </c>
      <c r="C17" s="46">
        <f t="shared" si="1"/>
        <v>5.7291906367458614</v>
      </c>
      <c r="D17" s="46">
        <f t="shared" si="1"/>
        <v>4.9157955204123445</v>
      </c>
      <c r="E17" s="46">
        <f t="shared" si="1"/>
        <v>4.7381105804439549</v>
      </c>
      <c r="F17" s="46">
        <f t="shared" si="1"/>
        <v>4.7420212881176997</v>
      </c>
      <c r="G17" s="46">
        <f t="shared" si="1"/>
        <v>4.8055804728711013</v>
      </c>
      <c r="H17" s="46">
        <f t="shared" si="1"/>
        <v>4.965968272128312</v>
      </c>
      <c r="I17" s="46">
        <f t="shared" si="1"/>
        <v>4.7230211927780381</v>
      </c>
      <c r="J17" s="46">
        <f t="shared" si="1"/>
        <v>4.8495781525260711</v>
      </c>
      <c r="K17" s="46">
        <f t="shared" si="1"/>
        <v>4.6305945955292298</v>
      </c>
      <c r="L17" s="46">
        <f t="shared" si="1"/>
        <v>4.7167229669174677</v>
      </c>
      <c r="M17" s="46">
        <f t="shared" si="1"/>
        <v>4.647741098817245</v>
      </c>
      <c r="N17" s="46">
        <f t="shared" si="1"/>
        <v>4.6433659141631978</v>
      </c>
      <c r="O17" s="46">
        <f t="shared" si="1"/>
        <v>4.6043493955304884</v>
      </c>
      <c r="P17" s="46">
        <f t="shared" si="1"/>
        <v>4.5798122269809722</v>
      </c>
      <c r="Q17" s="46">
        <f t="shared" si="1"/>
        <v>4.4966638146985183</v>
      </c>
      <c r="R17" s="46">
        <f>12.5/((R6/56.08)+(R7/79.9*2)+(R10/71.85)+(R9/70.94)+(R8/152.02*3)+(R13/60.09*2)+(R14/101.94*3)+(R15/40.32)+(R11/74.71)+(R5/94.2)+(R12/61.982))</f>
        <v>4.6077273286944296</v>
      </c>
      <c r="S17" s="46">
        <f>12.5/((S6/56.08)+(S7/79.9*2)+(S10/71.85)+(S9/70.94)+(S8/152.02*3)+(S13/60.09*2)+(S14/101.94*3)+(S15/40.32)+(S11/74.71)+(S5/94.2)+(S12/61.982))</f>
        <v>4.5740657795230222</v>
      </c>
      <c r="T17" s="46">
        <f>12.5/((T6/56.08)+(T7/79.9*2)+(T10/71.85)+(T9/70.94)+(T8/152.02*3)+(T13/60.09*2)+(T14/101.94*3)+(T15/40.32)+(T11/74.71)+(T5/94.2)+(T12/61.982))</f>
        <v>4.7293510941803092</v>
      </c>
      <c r="U17" s="46">
        <f>12.5/((U6/56.08)+(U7/79.9*2)+(U10/71.85)+(U9/70.94)+(U8/152.02*3)+(U13/60.09*2)+(U14/101.94*3)+(U15/40.32)+(U11/74.71)+(U5/94.2)+(U12/61.982))</f>
        <v>4.7808311078345112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</row>
    <row r="18" spans="1:78" hidden="1">
      <c r="A18" s="64" t="s">
        <v>207</v>
      </c>
      <c r="B18" s="46">
        <f t="shared" ref="B18:Q18" si="2">(B5/94.2*B17*2)+(B6/56.08*B17)+(B7/79.9*B17)+(B8/152.02*B17*2)+(B9/70.94*B17)+(B10/71.85*B17)+(B11/74.71*B17)+(B12/61.982*B17*2)+(B13/60.09*B17)+(B14/101.94*B17*2)+(B15/40.32*B17)</f>
        <v>8.2248464601385329</v>
      </c>
      <c r="C18" s="46">
        <f t="shared" si="2"/>
        <v>9.001626308819743</v>
      </c>
      <c r="D18" s="46">
        <f t="shared" si="2"/>
        <v>8.2993429725818082</v>
      </c>
      <c r="E18" s="46">
        <f t="shared" si="2"/>
        <v>8.1026288154125865</v>
      </c>
      <c r="F18" s="46">
        <f t="shared" si="2"/>
        <v>8.1206436741410375</v>
      </c>
      <c r="G18" s="46">
        <f t="shared" si="2"/>
        <v>8.1198816908392537</v>
      </c>
      <c r="H18" s="46">
        <f t="shared" si="2"/>
        <v>8.0790267374429927</v>
      </c>
      <c r="I18" s="46">
        <f t="shared" si="2"/>
        <v>8.0854741766499547</v>
      </c>
      <c r="J18" s="46">
        <f t="shared" si="2"/>
        <v>8.1471607389560248</v>
      </c>
      <c r="K18" s="46">
        <f t="shared" si="2"/>
        <v>8.0371129223329216</v>
      </c>
      <c r="L18" s="46">
        <f t="shared" si="2"/>
        <v>8.0372919882657445</v>
      </c>
      <c r="M18" s="46">
        <f t="shared" si="2"/>
        <v>8.0299689917734369</v>
      </c>
      <c r="N18" s="46">
        <f t="shared" si="2"/>
        <v>8.0376028112113662</v>
      </c>
      <c r="O18" s="46">
        <f t="shared" si="2"/>
        <v>8.0318169575505998</v>
      </c>
      <c r="P18" s="46">
        <f t="shared" si="2"/>
        <v>8.0240262452187778</v>
      </c>
      <c r="Q18" s="46">
        <f t="shared" si="2"/>
        <v>8.0410293348125457</v>
      </c>
      <c r="R18" s="46">
        <f>(R5/94.2*R17*2)+(R6/56.08*R17)+(R7/79.9*R17)+(R8/152.02*R17*2)+(R9/70.94*R17)+(R10/71.85*R17)+(R11/74.71*R17)+(R12/61.982*R17*2)+(R13/60.09*R17)+(R14/101.94*R17*2)+(R15/40.32*R17)</f>
        <v>8.0306173517446009</v>
      </c>
      <c r="S18" s="46">
        <f>(S5/94.2*S17*2)+(S6/56.08*S17)+(S7/79.9*S17)+(S8/152.02*S17*2)+(S9/70.94*S17)+(S10/71.85*S17)+(S11/74.71*S17)+(S12/61.982*S17*2)+(S13/60.09*S17)+(S14/101.94*S17*2)+(S15/40.32*S17)</f>
        <v>8.0148939779626698</v>
      </c>
      <c r="T18" s="46">
        <f>(T5/94.2*T17*2)+(T6/56.08*T17)+(T7/79.9*T17)+(T8/152.02*T17*2)+(T9/70.94*T17)+(T10/71.85*T17)+(T11/74.71*T17)+(T12/61.982*T17*2)+(T13/60.09*T17)+(T14/101.94*T17*2)+(T15/40.32*T17)</f>
        <v>8.148349799368237</v>
      </c>
      <c r="U18" s="46">
        <f>(U5/94.2*U17*2)+(U6/56.08*U17)+(U7/79.9*U17)+(U8/152.02*U17*2)+(U9/70.94*U17)+(U10/71.85*U17)+(U11/74.71*U17)+(U12/61.982*U17*2)+(U13/60.09*U17)+(U14/101.94*U17*2)+(U15/40.32*U17)</f>
        <v>8.1355108697234524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</row>
    <row r="19" spans="1:78">
      <c r="A19" s="44" t="s">
        <v>233</v>
      </c>
      <c r="B19" s="46"/>
      <c r="C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</row>
    <row r="20" spans="1:78" s="71" customFormat="1">
      <c r="A20" s="69" t="s">
        <v>18</v>
      </c>
      <c r="B20" s="70">
        <f t="shared" ref="B20:Q20" si="3">(B13/60.09*B17)*8/B18</f>
        <v>3.1143324082965718</v>
      </c>
      <c r="C20" s="70">
        <f t="shared" si="3"/>
        <v>3.0309517079340091</v>
      </c>
      <c r="D20" s="70">
        <f t="shared" si="3"/>
        <v>2.9831440252137416</v>
      </c>
      <c r="E20" s="70">
        <f t="shared" si="3"/>
        <v>3.0276451582945381</v>
      </c>
      <c r="F20" s="70">
        <f t="shared" si="3"/>
        <v>3.0047637142312857</v>
      </c>
      <c r="G20" s="70">
        <f t="shared" si="3"/>
        <v>3.0461114241142417</v>
      </c>
      <c r="H20" s="70">
        <f t="shared" si="3"/>
        <v>3.0319420085539082</v>
      </c>
      <c r="I20" s="70">
        <f t="shared" si="3"/>
        <v>3.0345161133496603</v>
      </c>
      <c r="J20" s="70">
        <f t="shared" si="3"/>
        <v>3.0074418645257492</v>
      </c>
      <c r="K20" s="70">
        <f t="shared" si="3"/>
        <v>2.9984039664339819</v>
      </c>
      <c r="L20" s="70">
        <f t="shared" si="3"/>
        <v>3.0142594361842323</v>
      </c>
      <c r="M20" s="70">
        <f t="shared" si="3"/>
        <v>3.0206604517018301</v>
      </c>
      <c r="N20" s="70">
        <f t="shared" si="3"/>
        <v>3.0049521586147643</v>
      </c>
      <c r="O20" s="70">
        <f t="shared" si="3"/>
        <v>3.042905661803244</v>
      </c>
      <c r="P20" s="70">
        <f t="shared" si="3"/>
        <v>3.0121511464760009</v>
      </c>
      <c r="Q20" s="70">
        <f t="shared" si="3"/>
        <v>3.012259858655725</v>
      </c>
      <c r="R20" s="70">
        <f>(R13/60.09*R17)*8/R18</f>
        <v>3.0180932272332939</v>
      </c>
      <c r="S20" s="70">
        <f>(S13/60.09*S17)*8/S18</f>
        <v>3.0285148073916095</v>
      </c>
      <c r="T20" s="70">
        <f>(T13/60.09*T17)*8/T18</f>
        <v>3.0058636454707401</v>
      </c>
      <c r="U20" s="70">
        <f>(U13/60.09*U17)*8/U18</f>
        <v>3.0418136975895518</v>
      </c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</row>
    <row r="21" spans="1:78" s="71" customFormat="1">
      <c r="A21" s="72" t="s">
        <v>122</v>
      </c>
      <c r="B21" s="70">
        <f t="shared" ref="B21:Q21" si="4">IF(3-B20&gt;0,IF(((B14/101.94*B17*2)*8/B18)&gt;3-B20,3-B20,((B14/101.94*B17*2)*8/B18)),0)</f>
        <v>0</v>
      </c>
      <c r="C21" s="70">
        <f t="shared" si="4"/>
        <v>0</v>
      </c>
      <c r="D21" s="70">
        <f t="shared" si="4"/>
        <v>1.6855974786258443E-2</v>
      </c>
      <c r="E21" s="70">
        <f t="shared" si="4"/>
        <v>0</v>
      </c>
      <c r="F21" s="70">
        <f t="shared" si="4"/>
        <v>0</v>
      </c>
      <c r="G21" s="70">
        <f t="shared" si="4"/>
        <v>0</v>
      </c>
      <c r="H21" s="70">
        <f t="shared" si="4"/>
        <v>0</v>
      </c>
      <c r="I21" s="70">
        <f t="shared" si="4"/>
        <v>0</v>
      </c>
      <c r="J21" s="70">
        <f t="shared" si="4"/>
        <v>0</v>
      </c>
      <c r="K21" s="70">
        <f t="shared" si="4"/>
        <v>1.596033566018118E-3</v>
      </c>
      <c r="L21" s="70">
        <f t="shared" si="4"/>
        <v>0</v>
      </c>
      <c r="M21" s="70">
        <f t="shared" si="4"/>
        <v>0</v>
      </c>
      <c r="N21" s="70">
        <f t="shared" si="4"/>
        <v>0</v>
      </c>
      <c r="O21" s="70">
        <f t="shared" si="4"/>
        <v>0</v>
      </c>
      <c r="P21" s="70">
        <f t="shared" si="4"/>
        <v>0</v>
      </c>
      <c r="Q21" s="70">
        <f t="shared" si="4"/>
        <v>0</v>
      </c>
      <c r="R21" s="70">
        <f>IF(3-R20&gt;0,IF(((R14/101.94*R17*2)*8/R18)&gt;3-R20,3-R20,((R14/101.94*R17*2)*8/R18)),0)</f>
        <v>0</v>
      </c>
      <c r="S21" s="70">
        <f>IF(3-S20&gt;0,IF(((S14/101.94*S17*2)*8/S18)&gt;3-S20,3-S20,((S14/101.94*S17*2)*8/S18)),0)</f>
        <v>0</v>
      </c>
      <c r="T21" s="70">
        <f>IF(3-T20&gt;0,IF(((T14/101.94*T17*2)*8/T18)&gt;3-T20,3-T20,((T14/101.94*T17*2)*8/T18)),0)</f>
        <v>0</v>
      </c>
      <c r="U21" s="70">
        <f>IF(3-U20&gt;0,IF(((U14/101.94*U17*2)*8/U18)&gt;3-U20,3-U20,((U14/101.94*U17*2)*8/U18)),0)</f>
        <v>0</v>
      </c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</row>
    <row r="22" spans="1:78" s="71" customFormat="1">
      <c r="A22" s="72" t="s">
        <v>234</v>
      </c>
      <c r="B22" s="70">
        <f t="shared" ref="B22:Q22" si="5">((B14/101.94*B17*2)*8/B18)-B21</f>
        <v>2.1034000834968976</v>
      </c>
      <c r="C22" s="70">
        <f t="shared" si="5"/>
        <v>0.15883447483171448</v>
      </c>
      <c r="D22" s="70">
        <f t="shared" si="5"/>
        <v>2.1009158707819813</v>
      </c>
      <c r="E22" s="70">
        <f t="shared" si="5"/>
        <v>2.6010844181403674</v>
      </c>
      <c r="F22" s="70">
        <f t="shared" si="5"/>
        <v>2.6020389350039022</v>
      </c>
      <c r="G22" s="70">
        <f t="shared" si="5"/>
        <v>2.5229071742807614</v>
      </c>
      <c r="H22" s="70">
        <f t="shared" si="5"/>
        <v>2.662743483631858</v>
      </c>
      <c r="I22" s="70">
        <f t="shared" si="5"/>
        <v>2.6514780849792632</v>
      </c>
      <c r="J22" s="70">
        <f t="shared" si="5"/>
        <v>2.5234669163053134</v>
      </c>
      <c r="K22" s="70">
        <f t="shared" si="5"/>
        <v>2.873170441892984</v>
      </c>
      <c r="L22" s="70">
        <f t="shared" si="5"/>
        <v>2.8517203072975339</v>
      </c>
      <c r="M22" s="70">
        <f t="shared" si="5"/>
        <v>2.8561824767392525</v>
      </c>
      <c r="N22" s="70">
        <f t="shared" si="5"/>
        <v>2.8652914501279199</v>
      </c>
      <c r="O22" s="70">
        <f t="shared" si="5"/>
        <v>2.8162691677694482</v>
      </c>
      <c r="P22" s="70">
        <f t="shared" si="5"/>
        <v>2.881022998688437</v>
      </c>
      <c r="Q22" s="70">
        <f t="shared" si="5"/>
        <v>2.840289703129677</v>
      </c>
      <c r="R22" s="70">
        <f>((R14/101.94*R17*2)*8/R18)-R21</f>
        <v>2.8727899615988979</v>
      </c>
      <c r="S22" s="70">
        <f>((S14/101.94*S17*2)*8/S18)-S21</f>
        <v>2.8959141441352916</v>
      </c>
      <c r="T22" s="70">
        <f>((T14/101.94*T17*2)*8/T18)-T21</f>
        <v>2.5133845750942423</v>
      </c>
      <c r="U22" s="70">
        <f>((U14/101.94*U17*2)*8/U18)-U21</f>
        <v>2.4718876029122403</v>
      </c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</row>
    <row r="23" spans="1:78" s="71" customFormat="1">
      <c r="A23" s="69" t="s">
        <v>20</v>
      </c>
      <c r="B23" s="70">
        <f t="shared" ref="B23:Q23" si="6">(B7/79.9*B17)*8/B18</f>
        <v>1.2141942229143415E-3</v>
      </c>
      <c r="C23" s="70">
        <f t="shared" si="6"/>
        <v>6.3725830103450746E-4</v>
      </c>
      <c r="D23" s="70">
        <f t="shared" si="6"/>
        <v>7.116632685190102E-3</v>
      </c>
      <c r="E23" s="70">
        <f t="shared" si="6"/>
        <v>1.1709880186561229E-2</v>
      </c>
      <c r="F23" s="70">
        <f t="shared" si="6"/>
        <v>8.7701598985224713E-3</v>
      </c>
      <c r="G23" s="70">
        <f t="shared" si="6"/>
        <v>4.1479871318881329E-3</v>
      </c>
      <c r="H23" s="70">
        <f t="shared" si="6"/>
        <v>1.6001527812748773E-2</v>
      </c>
      <c r="I23" s="70">
        <f t="shared" si="6"/>
        <v>7.603279574433938E-3</v>
      </c>
      <c r="J23" s="70">
        <f t="shared" si="6"/>
        <v>6.5559188710290848E-3</v>
      </c>
      <c r="K23" s="70">
        <f t="shared" si="6"/>
        <v>4.0381080738270177E-3</v>
      </c>
      <c r="L23" s="70">
        <f t="shared" si="6"/>
        <v>1.7627677045793104E-3</v>
      </c>
      <c r="M23" s="70">
        <f t="shared" si="6"/>
        <v>4.0566665149017293E-3</v>
      </c>
      <c r="N23" s="70">
        <f t="shared" si="6"/>
        <v>5.7842835669990992E-4</v>
      </c>
      <c r="O23" s="70">
        <f t="shared" si="6"/>
        <v>2.8699060623144897E-3</v>
      </c>
      <c r="P23" s="70">
        <f t="shared" si="6"/>
        <v>9.1436274349871189E-3</v>
      </c>
      <c r="Q23" s="70">
        <f t="shared" si="6"/>
        <v>3.9194039025127114E-3</v>
      </c>
      <c r="R23" s="70">
        <f>(R7/79.9*R17)*8/R18</f>
        <v>2.2979524459288184E-3</v>
      </c>
      <c r="S23" s="70">
        <f>(S7/79.9*S17)*8/S18</f>
        <v>5.7140999372698627E-4</v>
      </c>
      <c r="T23" s="70">
        <f>(T7/79.9*T17)*8/T18</f>
        <v>9.2981186100279233E-3</v>
      </c>
      <c r="U23" s="70">
        <f>(U7/79.9*U17)*8/U18</f>
        <v>4.707082028671543E-3</v>
      </c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</row>
    <row r="24" spans="1:78" s="71" customFormat="1">
      <c r="A24" s="69" t="s">
        <v>21</v>
      </c>
      <c r="B24" s="70">
        <f t="shared" ref="B24:Q24" si="7">(B8/152.02*B17*2)*8/B18</f>
        <v>0</v>
      </c>
      <c r="C24" s="70">
        <f t="shared" si="7"/>
        <v>0</v>
      </c>
      <c r="D24" s="70">
        <f t="shared" si="7"/>
        <v>0</v>
      </c>
      <c r="E24" s="70">
        <f t="shared" si="7"/>
        <v>5.5391230378609253E-3</v>
      </c>
      <c r="F24" s="70">
        <f t="shared" si="7"/>
        <v>2.458398547180443E-3</v>
      </c>
      <c r="G24" s="70">
        <f t="shared" si="7"/>
        <v>7.4747496796555742E-3</v>
      </c>
      <c r="H24" s="70">
        <f t="shared" si="7"/>
        <v>0</v>
      </c>
      <c r="I24" s="70">
        <f t="shared" si="7"/>
        <v>0</v>
      </c>
      <c r="J24" s="70">
        <f t="shared" si="7"/>
        <v>0</v>
      </c>
      <c r="K24" s="70">
        <f t="shared" si="7"/>
        <v>1.0308722906157532E-2</v>
      </c>
      <c r="L24" s="70">
        <f t="shared" si="7"/>
        <v>1.2353211384106206E-3</v>
      </c>
      <c r="M24" s="70">
        <f t="shared" si="7"/>
        <v>3.0459117648114729E-3</v>
      </c>
      <c r="N24" s="70">
        <f t="shared" si="7"/>
        <v>6.6883394645908542E-3</v>
      </c>
      <c r="O24" s="70">
        <f t="shared" si="7"/>
        <v>0</v>
      </c>
      <c r="P24" s="70">
        <f t="shared" si="7"/>
        <v>3.0036172545367008E-3</v>
      </c>
      <c r="Q24" s="70">
        <f t="shared" si="7"/>
        <v>4.1199891042068898E-3</v>
      </c>
      <c r="R24" s="70">
        <f>(R8/152.02*R17*2)*8/R18</f>
        <v>0</v>
      </c>
      <c r="S24" s="70">
        <f>(S8/152.02*S17*2)*8/S18</f>
        <v>2.4026132613490965E-3</v>
      </c>
      <c r="T24" s="70">
        <f>(T8/152.02*T17*2)*8/T18</f>
        <v>8.5522262508035424E-3</v>
      </c>
      <c r="U24" s="70">
        <f>(U8/152.02*U17*2)*8/U18</f>
        <v>2.1647406415570267E-2</v>
      </c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</row>
    <row r="25" spans="1:78" s="71" customFormat="1">
      <c r="A25" s="69" t="s">
        <v>51</v>
      </c>
      <c r="B25" s="70">
        <f t="shared" ref="B25:Q25" si="8">IF(((B10/71.85*B17)*8/B18)&gt;(IF(3-B22-B23-B24&gt;0,3-B22-B23-B24,0)),(IF(3-B22-B23-B24&gt;0,3-B22-B23-B24,0)),((B10/71.85*B17)*8/B18))</f>
        <v>0.83471298540836636</v>
      </c>
      <c r="C25" s="70">
        <f t="shared" si="8"/>
        <v>1.7964431241542922</v>
      </c>
      <c r="D25" s="70">
        <f t="shared" si="8"/>
        <v>0.89196749653282859</v>
      </c>
      <c r="E25" s="70">
        <f t="shared" si="8"/>
        <v>0.38166657863521047</v>
      </c>
      <c r="F25" s="70">
        <f t="shared" si="8"/>
        <v>0.38673250655039493</v>
      </c>
      <c r="G25" s="70">
        <f t="shared" si="8"/>
        <v>0.46127233380356553</v>
      </c>
      <c r="H25" s="70">
        <f t="shared" si="8"/>
        <v>0.32125498855539325</v>
      </c>
      <c r="I25" s="70">
        <f t="shared" si="8"/>
        <v>0.34091863544630285</v>
      </c>
      <c r="J25" s="70">
        <f t="shared" si="8"/>
        <v>0.46997716482365753</v>
      </c>
      <c r="K25" s="70">
        <f t="shared" si="8"/>
        <v>0.11248272712703147</v>
      </c>
      <c r="L25" s="70">
        <f t="shared" si="8"/>
        <v>0.10258727402715959</v>
      </c>
      <c r="M25" s="70">
        <f t="shared" si="8"/>
        <v>9.9890220606025384E-2</v>
      </c>
      <c r="N25" s="70">
        <f t="shared" si="8"/>
        <v>7.9761124381907147E-2</v>
      </c>
      <c r="O25" s="70">
        <f t="shared" si="8"/>
        <v>0.10467947412148683</v>
      </c>
      <c r="P25" s="70">
        <f t="shared" si="8"/>
        <v>0.10168070035566751</v>
      </c>
      <c r="Q25" s="70">
        <f t="shared" si="8"/>
        <v>9.8378245841735712E-2</v>
      </c>
      <c r="R25" s="70">
        <f>IF(((R10/71.85*R17)*8/R18)&gt;(IF(3-R22-R23-R24&gt;0,3-R22-R23-R24,0)),(IF(3-R22-R23-R24&gt;0,3-R22-R23-R24,0)),((R10/71.85*R17)*8/R18))</f>
        <v>0.12491208595517331</v>
      </c>
      <c r="S25" s="70">
        <f>IF(((S10/71.85*S17)*8/S18)&gt;(IF(3-S22-S23-S24&gt;0,3-S22-S23-S24,0)),(IF(3-S22-S23-S24&gt;0,3-S22-S23-S24,0)),((S10/71.85*S17)*8/S18))</f>
        <v>9.5314527137340746E-2</v>
      </c>
      <c r="T25" s="70">
        <f>IF(((T10/71.85*T17)*8/T18)&gt;(IF(3-T22-T23-T24&gt;0,3-T22-T23-T24,0)),(IF(3-T22-T23-T24&gt;0,3-T22-T23-T24,0)),((T10/71.85*T17)*8/T18))</f>
        <v>0.45624677446112488</v>
      </c>
      <c r="U25" s="70">
        <f>IF(((U10/71.85*U17)*8/U18)&gt;(IF(3-U22-U23-U24&gt;0,3-U22-U23-U24,0)),(IF(3-U22-U23-U24&gt;0,3-U22-U23-U24,0)),((U10/71.85*U17)*8/U18))</f>
        <v>0.49923649386103586</v>
      </c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</row>
    <row r="26" spans="1:78" s="71" customFormat="1">
      <c r="A26" s="69" t="s">
        <v>52</v>
      </c>
      <c r="B26" s="70">
        <f t="shared" ref="B26:Q26" si="9">IF(((B10/71.85*B17)*8/B18)&gt;B25,((B10/71.85*B17)*8/B18)-B25,0)</f>
        <v>0</v>
      </c>
      <c r="C26" s="70">
        <f t="shared" si="9"/>
        <v>0</v>
      </c>
      <c r="D26" s="70">
        <f t="shared" si="9"/>
        <v>3.7924317061269974E-2</v>
      </c>
      <c r="E26" s="70">
        <f t="shared" si="9"/>
        <v>2.0057281073315281E-2</v>
      </c>
      <c r="F26" s="70">
        <f t="shared" si="9"/>
        <v>4.028060660052124E-3</v>
      </c>
      <c r="G26" s="70">
        <f t="shared" si="9"/>
        <v>0</v>
      </c>
      <c r="H26" s="70">
        <f t="shared" si="9"/>
        <v>7.4326488749850872E-2</v>
      </c>
      <c r="I26" s="70">
        <f t="shared" si="9"/>
        <v>4.9969138052289641E-2</v>
      </c>
      <c r="J26" s="70">
        <f t="shared" si="9"/>
        <v>4.4992813194801362E-2</v>
      </c>
      <c r="K26" s="70">
        <f t="shared" si="9"/>
        <v>1.2610707298382262E-2</v>
      </c>
      <c r="L26" s="70">
        <f t="shared" si="9"/>
        <v>0</v>
      </c>
      <c r="M26" s="70">
        <f t="shared" si="9"/>
        <v>0</v>
      </c>
      <c r="N26" s="70">
        <f t="shared" si="9"/>
        <v>0</v>
      </c>
      <c r="O26" s="70">
        <f t="shared" si="9"/>
        <v>0</v>
      </c>
      <c r="P26" s="70">
        <f t="shared" si="9"/>
        <v>0</v>
      </c>
      <c r="Q26" s="70">
        <f t="shared" si="9"/>
        <v>0</v>
      </c>
      <c r="R26" s="70">
        <f>IF(((R10/71.85*R17)*8/R18)&gt;R25,((R10/71.85*R17)*8/R18)-R25,0)</f>
        <v>3.4974007754189906E-3</v>
      </c>
      <c r="S26" s="70">
        <f>IF(((S10/71.85*S17)*8/S18)&gt;S25,((S10/71.85*S17)*8/S18)-S25,0)</f>
        <v>0</v>
      </c>
      <c r="T26" s="70">
        <f>IF(((T10/71.85*T17)*8/T18)&gt;T25,((T10/71.85*T17)*8/T18)-T25,0)</f>
        <v>0</v>
      </c>
      <c r="U26" s="70">
        <f>IF(((U10/71.85*U17)*8/U18)&gt;U25,((U10/71.85*U17)*8/U18)-U25,0)</f>
        <v>0</v>
      </c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</row>
    <row r="27" spans="1:78" s="71" customFormat="1">
      <c r="A27" s="69" t="s">
        <v>24</v>
      </c>
      <c r="B27" s="70">
        <f t="shared" ref="B27:Q27" si="10">(B15/40.32*B17)*8/B18</f>
        <v>1.9248833018026962E-3</v>
      </c>
      <c r="C27" s="70">
        <f t="shared" si="10"/>
        <v>8.8397462244196451E-3</v>
      </c>
      <c r="D27" s="70">
        <f t="shared" si="10"/>
        <v>0</v>
      </c>
      <c r="E27" s="70">
        <f t="shared" si="10"/>
        <v>2.6685573932097684E-2</v>
      </c>
      <c r="F27" s="70">
        <f t="shared" si="10"/>
        <v>2.0855231425355523E-2</v>
      </c>
      <c r="G27" s="70">
        <f t="shared" si="10"/>
        <v>1.6439691063386004E-2</v>
      </c>
      <c r="H27" s="70">
        <f t="shared" si="10"/>
        <v>4.390529094226054E-2</v>
      </c>
      <c r="I27" s="70">
        <f t="shared" si="10"/>
        <v>8.1130079860746752E-3</v>
      </c>
      <c r="J27" s="70">
        <f t="shared" si="10"/>
        <v>0</v>
      </c>
      <c r="K27" s="70">
        <f t="shared" si="10"/>
        <v>1.6004208090217197E-2</v>
      </c>
      <c r="L27" s="70">
        <f t="shared" si="10"/>
        <v>2.3287886837944265E-3</v>
      </c>
      <c r="M27" s="70">
        <f t="shared" si="10"/>
        <v>9.1872917953698448E-3</v>
      </c>
      <c r="N27" s="70">
        <f t="shared" si="10"/>
        <v>1.3754888601286548E-2</v>
      </c>
      <c r="O27" s="70">
        <f t="shared" si="10"/>
        <v>5.6871402375726129E-3</v>
      </c>
      <c r="P27" s="70">
        <f t="shared" si="10"/>
        <v>5.6623250872354829E-3</v>
      </c>
      <c r="Q27" s="70">
        <f t="shared" si="10"/>
        <v>6.6573208293104931E-3</v>
      </c>
      <c r="R27" s="70">
        <f>(R15/40.32*R17)*8/R18</f>
        <v>1.2522757965816211E-2</v>
      </c>
      <c r="S27" s="70">
        <f>(S15/40.32*S17)*8/S18</f>
        <v>9.0586624005528187E-3</v>
      </c>
      <c r="T27" s="70">
        <f>(T15/40.32*T17)*8/T18</f>
        <v>1.6122388822509354E-2</v>
      </c>
      <c r="U27" s="70">
        <f>(U15/40.32*U17)*8/U18</f>
        <v>9.3277741589994131E-3</v>
      </c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</row>
    <row r="28" spans="1:78" s="71" customFormat="1">
      <c r="A28" s="69" t="s">
        <v>25</v>
      </c>
      <c r="B28" s="70">
        <f t="shared" ref="B28:Q28" si="11">(B11/74.71*B17)*8/B18</f>
        <v>0</v>
      </c>
      <c r="C28" s="70">
        <f t="shared" si="11"/>
        <v>0</v>
      </c>
      <c r="D28" s="70">
        <f t="shared" si="11"/>
        <v>0</v>
      </c>
      <c r="E28" s="70">
        <f t="shared" si="11"/>
        <v>0</v>
      </c>
      <c r="F28" s="70">
        <f t="shared" si="11"/>
        <v>0</v>
      </c>
      <c r="G28" s="70">
        <f t="shared" si="11"/>
        <v>0</v>
      </c>
      <c r="H28" s="70">
        <f t="shared" si="11"/>
        <v>0</v>
      </c>
      <c r="I28" s="70">
        <f t="shared" si="11"/>
        <v>0</v>
      </c>
      <c r="J28" s="70">
        <f t="shared" si="11"/>
        <v>0</v>
      </c>
      <c r="K28" s="70">
        <f t="shared" si="11"/>
        <v>0</v>
      </c>
      <c r="L28" s="70">
        <f t="shared" si="11"/>
        <v>0</v>
      </c>
      <c r="M28" s="70">
        <f t="shared" si="11"/>
        <v>0</v>
      </c>
      <c r="N28" s="70">
        <f t="shared" si="11"/>
        <v>0</v>
      </c>
      <c r="O28" s="70">
        <f t="shared" si="11"/>
        <v>0</v>
      </c>
      <c r="P28" s="70">
        <f t="shared" si="11"/>
        <v>0</v>
      </c>
      <c r="Q28" s="70">
        <f t="shared" si="11"/>
        <v>0</v>
      </c>
      <c r="R28" s="70">
        <f>(R11/74.71*R17)*8/R18</f>
        <v>0</v>
      </c>
      <c r="S28" s="70">
        <f>(S11/74.71*S17)*8/S18</f>
        <v>0</v>
      </c>
      <c r="T28" s="70">
        <f>(T11/74.71*T17)*8/T18</f>
        <v>0</v>
      </c>
      <c r="U28" s="70">
        <f>(U11/74.71*U17)*8/U18</f>
        <v>1.8877786813555231E-3</v>
      </c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</row>
    <row r="29" spans="1:78" s="71" customFormat="1">
      <c r="A29" s="69" t="s">
        <v>23</v>
      </c>
      <c r="B29" s="70">
        <f t="shared" ref="B29:Q29" si="12">(B9/70.94*B17)*8/B18</f>
        <v>8.0001775120313919E-3</v>
      </c>
      <c r="C29" s="70">
        <f t="shared" si="12"/>
        <v>4.3064791304756531E-3</v>
      </c>
      <c r="D29" s="70">
        <f t="shared" si="12"/>
        <v>6.0116184615170119E-3</v>
      </c>
      <c r="E29" s="70">
        <f t="shared" si="12"/>
        <v>0</v>
      </c>
      <c r="F29" s="70">
        <f t="shared" si="12"/>
        <v>3.9511461848996086E-3</v>
      </c>
      <c r="G29" s="70">
        <f t="shared" si="12"/>
        <v>1.3348269033705016E-2</v>
      </c>
      <c r="H29" s="70">
        <f t="shared" si="12"/>
        <v>0</v>
      </c>
      <c r="I29" s="70">
        <f t="shared" si="12"/>
        <v>0</v>
      </c>
      <c r="J29" s="70">
        <f t="shared" si="12"/>
        <v>0</v>
      </c>
      <c r="K29" s="70">
        <f t="shared" si="12"/>
        <v>0</v>
      </c>
      <c r="L29" s="70">
        <f t="shared" si="12"/>
        <v>0</v>
      </c>
      <c r="M29" s="70">
        <f t="shared" si="12"/>
        <v>5.2217593063054995E-3</v>
      </c>
      <c r="N29" s="70">
        <f t="shared" si="12"/>
        <v>0</v>
      </c>
      <c r="O29" s="70">
        <f t="shared" si="12"/>
        <v>0</v>
      </c>
      <c r="P29" s="70">
        <f t="shared" si="12"/>
        <v>0</v>
      </c>
      <c r="Q29" s="70">
        <f t="shared" si="12"/>
        <v>7.000040531434007E-2</v>
      </c>
      <c r="R29" s="70">
        <f>(R9/70.94*R17)*8/R18</f>
        <v>3.2352410563453731E-3</v>
      </c>
      <c r="S29" s="70">
        <f>(S9/70.94*S17)*8/S18</f>
        <v>0</v>
      </c>
      <c r="T29" s="70">
        <f>(T9/70.94*T17)*8/T18</f>
        <v>2.6181268569961625E-3</v>
      </c>
      <c r="U29" s="70">
        <f>(U9/70.94*U17)*8/U18</f>
        <v>3.313503084392236E-3</v>
      </c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</row>
    <row r="30" spans="1:78" s="71" customFormat="1">
      <c r="A30" s="69" t="s">
        <v>26</v>
      </c>
      <c r="B30" s="70">
        <f t="shared" ref="B30:Q30" si="13">(B6/56.08*B17)*8/B18</f>
        <v>1.9184853302004135</v>
      </c>
      <c r="C30" s="70">
        <f t="shared" si="13"/>
        <v>2.9961821724994397</v>
      </c>
      <c r="D30" s="70">
        <f t="shared" si="13"/>
        <v>1.9560640644772134</v>
      </c>
      <c r="E30" s="70">
        <f t="shared" si="13"/>
        <v>1.9236255335643671</v>
      </c>
      <c r="F30" s="70">
        <f t="shared" si="13"/>
        <v>1.9634263240338989</v>
      </c>
      <c r="G30" s="70">
        <f t="shared" si="13"/>
        <v>1.9282983708927972</v>
      </c>
      <c r="H30" s="70">
        <f t="shared" si="13"/>
        <v>1.8466527790893148</v>
      </c>
      <c r="I30" s="70">
        <f t="shared" si="13"/>
        <v>1.9074017406119759</v>
      </c>
      <c r="J30" s="70">
        <f t="shared" si="13"/>
        <v>1.9445322133171161</v>
      </c>
      <c r="K30" s="70">
        <f t="shared" si="13"/>
        <v>1.9659834052279361</v>
      </c>
      <c r="L30" s="70">
        <f t="shared" si="13"/>
        <v>2.0251093240754305</v>
      </c>
      <c r="M30" s="70">
        <f t="shared" si="13"/>
        <v>1.9997890240917306</v>
      </c>
      <c r="N30" s="70">
        <f t="shared" si="13"/>
        <v>2.0289736104528306</v>
      </c>
      <c r="O30" s="70">
        <f t="shared" si="13"/>
        <v>2.0207342247158717</v>
      </c>
      <c r="P30" s="70">
        <f t="shared" si="13"/>
        <v>1.9858622218073441</v>
      </c>
      <c r="Q30" s="70">
        <f t="shared" si="13"/>
        <v>1.9600444098712331</v>
      </c>
      <c r="R30" s="70">
        <f>(R6/56.08*R17)*8/R18</f>
        <v>1.9537646122758738</v>
      </c>
      <c r="S30" s="70">
        <f>(S6/56.08*S17)*8/S18</f>
        <v>1.9652774539242139</v>
      </c>
      <c r="T30" s="70">
        <f>(T6/56.08*T17)*8/T18</f>
        <v>1.9805009219456855</v>
      </c>
      <c r="U30" s="70">
        <f>(U6/56.08*U17)*8/U18</f>
        <v>1.9431842675254212</v>
      </c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</row>
    <row r="31" spans="1:78" s="71" customFormat="1">
      <c r="A31" s="69" t="s">
        <v>27</v>
      </c>
      <c r="B31" s="70">
        <f t="shared" ref="B31:Q31" si="14">(B12/61.982*B17*2)*8/B18</f>
        <v>1.6591101531978195E-2</v>
      </c>
      <c r="C31" s="70">
        <f t="shared" si="14"/>
        <v>1.6429588671761847E-3</v>
      </c>
      <c r="D31" s="70">
        <f t="shared" si="14"/>
        <v>0</v>
      </c>
      <c r="E31" s="70">
        <f t="shared" si="14"/>
        <v>0</v>
      </c>
      <c r="F31" s="70">
        <f t="shared" si="14"/>
        <v>0</v>
      </c>
      <c r="G31" s="70">
        <f t="shared" si="14"/>
        <v>0</v>
      </c>
      <c r="H31" s="70">
        <f t="shared" si="14"/>
        <v>3.1734326646659875E-3</v>
      </c>
      <c r="I31" s="70">
        <f t="shared" si="14"/>
        <v>0</v>
      </c>
      <c r="J31" s="70">
        <f t="shared" si="14"/>
        <v>0</v>
      </c>
      <c r="K31" s="70">
        <f t="shared" si="14"/>
        <v>1.4872743473855483E-3</v>
      </c>
      <c r="L31" s="70">
        <f t="shared" si="14"/>
        <v>0</v>
      </c>
      <c r="M31" s="70">
        <f t="shared" si="14"/>
        <v>0</v>
      </c>
      <c r="N31" s="70">
        <f t="shared" si="14"/>
        <v>0</v>
      </c>
      <c r="O31" s="70">
        <f t="shared" si="14"/>
        <v>2.9596398229024901E-3</v>
      </c>
      <c r="P31" s="70">
        <f t="shared" si="14"/>
        <v>1.4733628957912597E-3</v>
      </c>
      <c r="Q31" s="70">
        <f t="shared" si="14"/>
        <v>4.3306633512600291E-3</v>
      </c>
      <c r="R31" s="70">
        <f>(R12/61.982*R17*2)*8/R18</f>
        <v>8.8867606932518765E-3</v>
      </c>
      <c r="S31" s="70">
        <f>(S12/61.982*S17*2)*8/S18</f>
        <v>2.9463817559153439E-3</v>
      </c>
      <c r="T31" s="70">
        <f>(T12/61.982*T17*2)*8/T18</f>
        <v>1.4982569071287451E-3</v>
      </c>
      <c r="U31" s="70">
        <f>(U12/61.982*U17*2)*8/U18</f>
        <v>0</v>
      </c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</row>
    <row r="32" spans="1:78" s="71" customFormat="1">
      <c r="A32" s="69" t="s">
        <v>28</v>
      </c>
      <c r="B32" s="70">
        <f t="shared" ref="B32:Q32" si="15">(B5/94.2*B17*2)*8/B18</f>
        <v>1.3388360290245505E-3</v>
      </c>
      <c r="C32" s="70">
        <f t="shared" si="15"/>
        <v>2.1620780574376709E-3</v>
      </c>
      <c r="D32" s="70">
        <f t="shared" si="15"/>
        <v>0</v>
      </c>
      <c r="E32" s="70">
        <f t="shared" si="15"/>
        <v>1.9864531356820429E-3</v>
      </c>
      <c r="F32" s="70">
        <f t="shared" si="15"/>
        <v>2.9755234645093228E-3</v>
      </c>
      <c r="G32" s="70">
        <f t="shared" si="15"/>
        <v>0</v>
      </c>
      <c r="H32" s="70">
        <f t="shared" si="15"/>
        <v>0</v>
      </c>
      <c r="I32" s="70">
        <f t="shared" si="15"/>
        <v>0</v>
      </c>
      <c r="J32" s="70">
        <f t="shared" si="15"/>
        <v>3.0331089623348226E-3</v>
      </c>
      <c r="K32" s="70">
        <f t="shared" si="15"/>
        <v>3.9144050360786012E-3</v>
      </c>
      <c r="L32" s="70">
        <f t="shared" si="15"/>
        <v>9.9678088885978011E-4</v>
      </c>
      <c r="M32" s="70">
        <f t="shared" si="15"/>
        <v>1.9661974797734192E-3</v>
      </c>
      <c r="N32" s="70">
        <f t="shared" si="15"/>
        <v>0</v>
      </c>
      <c r="O32" s="70">
        <f t="shared" si="15"/>
        <v>3.8947854671580076E-3</v>
      </c>
      <c r="P32" s="70">
        <f t="shared" si="15"/>
        <v>0</v>
      </c>
      <c r="Q32" s="70">
        <f t="shared" si="15"/>
        <v>0</v>
      </c>
      <c r="R32" s="70">
        <f>(R5/94.2*R17*2)*8/R18</f>
        <v>0</v>
      </c>
      <c r="S32" s="70">
        <f>(S5/94.2*S17*2)*8/S18</f>
        <v>0</v>
      </c>
      <c r="T32" s="70">
        <f>(T5/94.2*T17*2)*8/T18</f>
        <v>5.9149655807422853E-3</v>
      </c>
      <c r="U32" s="70">
        <f>(U5/94.2*U17*2)*8/U18</f>
        <v>2.9943937427615946E-3</v>
      </c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</row>
    <row r="33" spans="1:78" s="74" customFormat="1">
      <c r="A33" s="73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</row>
    <row r="34" spans="1:78" s="67" customFormat="1">
      <c r="A34" s="75" t="s">
        <v>10</v>
      </c>
      <c r="B34" s="46">
        <f t="shared" ref="B34:Q34" si="16">B10*(B26/(B26+B25))</f>
        <v>0</v>
      </c>
      <c r="C34" s="46">
        <f t="shared" si="16"/>
        <v>0</v>
      </c>
      <c r="D34" s="46">
        <f t="shared" si="16"/>
        <v>0.57504847633524769</v>
      </c>
      <c r="E34" s="46">
        <f t="shared" si="16"/>
        <v>0.30805594746636572</v>
      </c>
      <c r="F34" s="46">
        <f t="shared" si="16"/>
        <v>6.1952629303753462E-2</v>
      </c>
      <c r="G34" s="46">
        <f t="shared" si="16"/>
        <v>0</v>
      </c>
      <c r="H34" s="46">
        <f t="shared" si="16"/>
        <v>1.0860142085030908</v>
      </c>
      <c r="I34" s="46">
        <f t="shared" si="16"/>
        <v>0.76828834272899582</v>
      </c>
      <c r="J34" s="46">
        <f t="shared" si="16"/>
        <v>0.67886318318749739</v>
      </c>
      <c r="K34" s="46">
        <f t="shared" si="16"/>
        <v>0.19658009506891894</v>
      </c>
      <c r="L34" s="46">
        <f t="shared" si="16"/>
        <v>0</v>
      </c>
      <c r="M34" s="46">
        <f t="shared" si="16"/>
        <v>0</v>
      </c>
      <c r="N34" s="46">
        <f t="shared" si="16"/>
        <v>0</v>
      </c>
      <c r="O34" s="46">
        <f t="shared" si="16"/>
        <v>0</v>
      </c>
      <c r="P34" s="46">
        <f t="shared" si="16"/>
        <v>0</v>
      </c>
      <c r="Q34" s="46">
        <f t="shared" si="16"/>
        <v>0</v>
      </c>
      <c r="R34" s="46">
        <f>R10*(R26/(R26+R25))</f>
        <v>5.4744986040952653E-2</v>
      </c>
      <c r="S34" s="46">
        <f>S10*(S26/(S26+S25))</f>
        <v>0</v>
      </c>
      <c r="T34" s="46">
        <f>T10*(T26/(T26+T25))</f>
        <v>0</v>
      </c>
      <c r="U34" s="46">
        <f>U10*(U26/(U26+U25))</f>
        <v>0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s="67" customFormat="1">
      <c r="A35" s="75" t="s">
        <v>101</v>
      </c>
      <c r="B35" s="46">
        <f t="shared" ref="B35:Q35" si="17">1.1113*B10*(B25/(B25+B26))</f>
        <v>13.7401132</v>
      </c>
      <c r="C35" s="46">
        <f t="shared" si="17"/>
        <v>28.171455000000002</v>
      </c>
      <c r="D35" s="46">
        <f t="shared" si="17"/>
        <v>15.030278628248638</v>
      </c>
      <c r="E35" s="46">
        <f t="shared" si="17"/>
        <v>6.5143784255806274</v>
      </c>
      <c r="F35" s="46">
        <f t="shared" si="17"/>
        <v>6.6100650430547381</v>
      </c>
      <c r="G35" s="46">
        <f t="shared" si="17"/>
        <v>7.7790999999999997</v>
      </c>
      <c r="H35" s="46">
        <f t="shared" si="17"/>
        <v>5.2164264100905156</v>
      </c>
      <c r="I35" s="46">
        <f t="shared" si="17"/>
        <v>5.8251141647252664</v>
      </c>
      <c r="J35" s="46">
        <f t="shared" si="17"/>
        <v>7.8803803445237337</v>
      </c>
      <c r="K35" s="46">
        <f t="shared" si="17"/>
        <v>1.9485755403499103</v>
      </c>
      <c r="L35" s="46">
        <f t="shared" si="17"/>
        <v>1.7447410000000001</v>
      </c>
      <c r="M35" s="46">
        <f t="shared" si="17"/>
        <v>1.722515</v>
      </c>
      <c r="N35" s="46">
        <f t="shared" si="17"/>
        <v>1.378012</v>
      </c>
      <c r="O35" s="46">
        <f t="shared" si="17"/>
        <v>1.8225319999999998</v>
      </c>
      <c r="P35" s="46">
        <f t="shared" si="17"/>
        <v>1.7780800000000001</v>
      </c>
      <c r="Q35" s="46">
        <f t="shared" si="17"/>
        <v>1.755854</v>
      </c>
      <c r="R35" s="46">
        <f>1.1113*R10*(R25/(R25+R26))</f>
        <v>2.1728748970126892</v>
      </c>
      <c r="S35" s="46">
        <f>1.1113*S10*(S25/(S25+S26))</f>
        <v>1.6669499999999999</v>
      </c>
      <c r="T35" s="46">
        <f>1.1113*T10*(T25/(T25+T26))</f>
        <v>7.8457779999999993</v>
      </c>
      <c r="U35" s="46">
        <f>1.1113*U10*(U25/(U25+U26))</f>
        <v>8.4792189999999987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s="67" customFormat="1">
      <c r="A36" s="75" t="s">
        <v>235</v>
      </c>
      <c r="B36" s="46">
        <f t="shared" ref="B36:Q36" si="18">B35+B34+B11+B15+B14+B13+B12+B8+B9+B7+B6+B5</f>
        <v>96.874113200000011</v>
      </c>
      <c r="C36" s="46">
        <f t="shared" si="18"/>
        <v>98.70145500000001</v>
      </c>
      <c r="D36" s="46">
        <f t="shared" si="18"/>
        <v>99.575327104583891</v>
      </c>
      <c r="E36" s="46">
        <f t="shared" si="18"/>
        <v>97.652434373047001</v>
      </c>
      <c r="F36" s="46">
        <f t="shared" si="18"/>
        <v>97.742017672358514</v>
      </c>
      <c r="G36" s="46">
        <f t="shared" si="18"/>
        <v>96.969099999999997</v>
      </c>
      <c r="H36" s="46">
        <f t="shared" si="18"/>
        <v>92.652440618593602</v>
      </c>
      <c r="I36" s="46">
        <f t="shared" si="18"/>
        <v>97.623402507454259</v>
      </c>
      <c r="J36" s="46">
        <f t="shared" si="18"/>
        <v>96.559243527711232</v>
      </c>
      <c r="K36" s="46">
        <f t="shared" si="18"/>
        <v>97.375155635418849</v>
      </c>
      <c r="L36" s="46">
        <f t="shared" si="18"/>
        <v>95.554741000000007</v>
      </c>
      <c r="M36" s="46">
        <f t="shared" si="18"/>
        <v>96.882514999999998</v>
      </c>
      <c r="N36" s="46">
        <f t="shared" si="18"/>
        <v>96.908012000000014</v>
      </c>
      <c r="O36" s="46">
        <f t="shared" si="18"/>
        <v>97.862532000000002</v>
      </c>
      <c r="P36" s="46">
        <f t="shared" si="18"/>
        <v>98.238079999999997</v>
      </c>
      <c r="Q36" s="46">
        <f t="shared" si="18"/>
        <v>100.48585399999999</v>
      </c>
      <c r="R36" s="46">
        <f>R35+R34+R11+R15+R14+R13+R12+R8+R9+R7+R6+R5</f>
        <v>97.767619883053641</v>
      </c>
      <c r="S36" s="46">
        <f>S35+S34+S11+S15+S14+S13+S12+S8+S9+S7+S6+S5</f>
        <v>98.146950000000004</v>
      </c>
      <c r="T36" s="46">
        <f>T35+T34+T11+T15+T14+T13+T12+T8+T9+T7+T6+T5</f>
        <v>98.805778000000004</v>
      </c>
      <c r="U36" s="46">
        <f>U35+U34+U11+U15+U14+U13+U12+U8+U9+U7+U6+U5</f>
        <v>97.95921899999999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s="74" customFormat="1">
      <c r="A37" s="29" t="s">
        <v>236</v>
      </c>
      <c r="B37" s="67">
        <f t="shared" ref="B37:Q37" si="19">B25/(B25+B24+B23+B22)*100</f>
        <v>28.398096254175631</v>
      </c>
      <c r="C37" s="67">
        <f t="shared" si="19"/>
        <v>91.846693503113684</v>
      </c>
      <c r="D37" s="67">
        <f t="shared" si="19"/>
        <v>29.73224988442762</v>
      </c>
      <c r="E37" s="67">
        <f t="shared" si="19"/>
        <v>12.72221928784035</v>
      </c>
      <c r="F37" s="67">
        <f t="shared" si="19"/>
        <v>12.891083551679831</v>
      </c>
      <c r="G37" s="67">
        <f t="shared" si="19"/>
        <v>15.397289143148987</v>
      </c>
      <c r="H37" s="67">
        <f t="shared" si="19"/>
        <v>10.708499618513107</v>
      </c>
      <c r="I37" s="67">
        <f t="shared" si="19"/>
        <v>11.363954514876761</v>
      </c>
      <c r="J37" s="67">
        <f t="shared" si="19"/>
        <v>15.665905494121917</v>
      </c>
      <c r="K37" s="67">
        <f t="shared" si="19"/>
        <v>3.749424237567716</v>
      </c>
      <c r="L37" s="67">
        <f t="shared" si="19"/>
        <v>3.4689438789512326</v>
      </c>
      <c r="M37" s="67">
        <f t="shared" si="19"/>
        <v>3.3710533908581093</v>
      </c>
      <c r="N37" s="67">
        <f t="shared" si="19"/>
        <v>2.7016428486671997</v>
      </c>
      <c r="O37" s="67">
        <f t="shared" si="19"/>
        <v>3.5802315500996196</v>
      </c>
      <c r="P37" s="67">
        <f t="shared" si="19"/>
        <v>3.3951840096891091</v>
      </c>
      <c r="Q37" s="67">
        <f t="shared" si="19"/>
        <v>3.3385821672977585</v>
      </c>
      <c r="R37" s="67">
        <f>R25/(R25+R24+R23+R22)*100</f>
        <v>4.1637361985057773</v>
      </c>
      <c r="S37" s="67">
        <f>S25/(S25+S24+S23+S22)*100</f>
        <v>3.1833024301107051</v>
      </c>
      <c r="T37" s="67">
        <f>T25/(T25+T24+T23+T22)*100</f>
        <v>15.271952136606574</v>
      </c>
      <c r="U37" s="67">
        <f>U25/(U25+U24+U23+U22)*100</f>
        <v>16.655214696881902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s="74" customFormat="1">
      <c r="A38" s="73" t="s">
        <v>237</v>
      </c>
      <c r="B38" s="46">
        <f t="shared" ref="B38:Q38" si="20">B22-2</f>
        <v>0.10340008349689755</v>
      </c>
      <c r="C38" s="46">
        <f t="shared" si="20"/>
        <v>-1.8411655251682855</v>
      </c>
      <c r="D38" s="46">
        <f t="shared" si="20"/>
        <v>0.10091587078198128</v>
      </c>
      <c r="E38" s="46">
        <f t="shared" si="20"/>
        <v>0.60108441814036739</v>
      </c>
      <c r="F38" s="46">
        <f t="shared" si="20"/>
        <v>0.60203893500390215</v>
      </c>
      <c r="G38" s="46">
        <f t="shared" si="20"/>
        <v>0.52290717428076139</v>
      </c>
      <c r="H38" s="46">
        <f t="shared" si="20"/>
        <v>0.66274348363185798</v>
      </c>
      <c r="I38" s="46">
        <f t="shared" si="20"/>
        <v>0.65147808497926318</v>
      </c>
      <c r="J38" s="46">
        <f t="shared" si="20"/>
        <v>0.52346691630531339</v>
      </c>
      <c r="K38" s="46">
        <f t="shared" si="20"/>
        <v>0.87317044189298398</v>
      </c>
      <c r="L38" s="46">
        <f t="shared" si="20"/>
        <v>0.8517203072975339</v>
      </c>
      <c r="M38" s="46">
        <f t="shared" si="20"/>
        <v>0.85618247673925252</v>
      </c>
      <c r="N38" s="46">
        <f t="shared" si="20"/>
        <v>0.86529145012791986</v>
      </c>
      <c r="O38" s="46">
        <f t="shared" si="20"/>
        <v>0.81626916776944825</v>
      </c>
      <c r="P38" s="46">
        <f t="shared" si="20"/>
        <v>0.88102299868843703</v>
      </c>
      <c r="Q38" s="46">
        <f t="shared" si="20"/>
        <v>0.84028970312967699</v>
      </c>
      <c r="R38" s="46">
        <f>R22-2</f>
        <v>0.87278996159889788</v>
      </c>
      <c r="S38" s="46">
        <f>S22-2</f>
        <v>0.89591414413529158</v>
      </c>
      <c r="T38" s="46">
        <f>T22-2</f>
        <v>0.51338457509424229</v>
      </c>
      <c r="U38" s="46">
        <f>U22-2</f>
        <v>0.4718876029122403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s="74" customFormat="1">
      <c r="A39" s="73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>
      <c r="B40" s="76"/>
    </row>
  </sheetData>
  <printOptions gridLines="1" gridLinesSet="0"/>
  <pageMargins left="0.75" right="0.75" top="1" bottom="1" header="0.5" footer="0.5"/>
  <pageSetup paperSize="9"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108"/>
  <sheetViews>
    <sheetView tabSelected="1" workbookViewId="0">
      <selection activeCell="B18" sqref="B18"/>
    </sheetView>
  </sheetViews>
  <sheetFormatPr baseColWidth="10" defaultColWidth="7.7109375" defaultRowHeight="14"/>
  <cols>
    <col min="1" max="2" width="9.140625" style="22" customWidth="1"/>
    <col min="3" max="16384" width="7.7109375" style="16"/>
  </cols>
  <sheetData>
    <row r="3" spans="1:2">
      <c r="A3" s="1" t="s">
        <v>0</v>
      </c>
      <c r="B3" s="2">
        <v>8636</v>
      </c>
    </row>
    <row r="4" spans="1:2">
      <c r="A4" s="1" t="s">
        <v>238</v>
      </c>
      <c r="B4" t="s">
        <v>239</v>
      </c>
    </row>
    <row r="5" spans="1:2">
      <c r="A5" s="22" t="s">
        <v>5</v>
      </c>
      <c r="B5">
        <v>0.01</v>
      </c>
    </row>
    <row r="6" spans="1:2">
      <c r="A6" s="22" t="s">
        <v>6</v>
      </c>
      <c r="B6">
        <v>28.84</v>
      </c>
    </row>
    <row r="7" spans="1:2">
      <c r="A7" s="22" t="s">
        <v>7</v>
      </c>
      <c r="B7">
        <v>38.68</v>
      </c>
    </row>
    <row r="8" spans="1:2">
      <c r="A8" s="22" t="s">
        <v>8</v>
      </c>
      <c r="B8">
        <v>0.1</v>
      </c>
    </row>
    <row r="9" spans="1:2">
      <c r="A9" s="22" t="s">
        <v>9</v>
      </c>
      <c r="B9">
        <v>0</v>
      </c>
    </row>
    <row r="10" spans="1:2">
      <c r="A10" s="22" t="s">
        <v>118</v>
      </c>
      <c r="B10">
        <v>0.5</v>
      </c>
    </row>
    <row r="11" spans="1:2">
      <c r="A11" s="22" t="s">
        <v>11</v>
      </c>
      <c r="B11">
        <v>0</v>
      </c>
    </row>
    <row r="12" spans="1:2">
      <c r="A12" s="22" t="s">
        <v>12</v>
      </c>
      <c r="B12">
        <v>0.08</v>
      </c>
    </row>
    <row r="13" spans="1:2">
      <c r="A13" s="22" t="s">
        <v>13</v>
      </c>
      <c r="B13">
        <v>31.04</v>
      </c>
    </row>
    <row r="14" spans="1:2">
      <c r="A14" s="22" t="s">
        <v>14</v>
      </c>
      <c r="B14">
        <v>1.66</v>
      </c>
    </row>
    <row r="15" spans="1:2">
      <c r="A15" s="22" t="s">
        <v>15</v>
      </c>
      <c r="B15">
        <v>0.01</v>
      </c>
    </row>
    <row r="16" spans="1:2">
      <c r="A16" s="1" t="s">
        <v>16</v>
      </c>
      <c r="B16" s="24">
        <f>SUM(B5:B15)</f>
        <v>100.92</v>
      </c>
    </row>
    <row r="17" spans="1:2">
      <c r="A17" s="1" t="s">
        <v>240</v>
      </c>
      <c r="B17" s="1"/>
    </row>
    <row r="18" spans="1:2">
      <c r="A18" s="15" t="s">
        <v>18</v>
      </c>
      <c r="B18" s="15">
        <f>B13/60.09*(4/((B13/60.09)))</f>
        <v>4</v>
      </c>
    </row>
    <row r="19" spans="1:2">
      <c r="A19" s="25" t="s">
        <v>19</v>
      </c>
      <c r="B19" s="15">
        <f>(B14/101.94*(4/((B13/60.09)))*2)</f>
        <v>0.25219352803043638</v>
      </c>
    </row>
    <row r="20" spans="1:2">
      <c r="A20" s="15" t="s">
        <v>20</v>
      </c>
      <c r="B20" s="15">
        <f>B7/79.9*(4/((B13/60.09)))</f>
        <v>3.7486955343664117</v>
      </c>
    </row>
    <row r="21" spans="1:2">
      <c r="A21" s="15" t="s">
        <v>21</v>
      </c>
      <c r="B21" s="15">
        <f>B8/152.02*(4/((B13/60.09)))*2</f>
        <v>1.0187549928997406E-2</v>
      </c>
    </row>
    <row r="22" spans="1:2">
      <c r="A22" s="15" t="s">
        <v>22</v>
      </c>
      <c r="B22" s="15">
        <f>B10/71.85*(4/((B13/60.09)))</f>
        <v>5.3886963820674517E-2</v>
      </c>
    </row>
    <row r="23" spans="1:2">
      <c r="A23" s="15" t="s">
        <v>23</v>
      </c>
      <c r="B23" s="15">
        <f>B9/70.94*(4/((B13/60.09)))</f>
        <v>0</v>
      </c>
    </row>
    <row r="24" spans="1:2">
      <c r="A24" s="15" t="s">
        <v>24</v>
      </c>
      <c r="B24" s="15">
        <f>B15/40.32*(4/((B13/60.09)))</f>
        <v>1.9205249754540993E-3</v>
      </c>
    </row>
    <row r="25" spans="1:2">
      <c r="A25" s="15" t="s">
        <v>25</v>
      </c>
      <c r="B25" s="15">
        <f>B11/74.71*(4/((B13/60.09)))</f>
        <v>0</v>
      </c>
    </row>
    <row r="26" spans="1:2">
      <c r="A26" s="15" t="s">
        <v>26</v>
      </c>
      <c r="B26" s="15">
        <f>B6/56.08*(4/((B13/60.09)))</f>
        <v>3.9822427827698288</v>
      </c>
    </row>
    <row r="27" spans="1:2">
      <c r="A27" s="15" t="s">
        <v>27</v>
      </c>
      <c r="B27" s="15">
        <f>B12/61.982*2*(4/((B13/60.09)))</f>
        <v>1.9989175440691627E-2</v>
      </c>
    </row>
    <row r="28" spans="1:2">
      <c r="A28" s="15" t="s">
        <v>28</v>
      </c>
      <c r="B28" s="15">
        <f>B5/94.2*2*(4/((B13/60.09)))</f>
        <v>1.6440672401339552E-3</v>
      </c>
    </row>
    <row r="29" spans="1:2">
      <c r="B29" s="24"/>
    </row>
    <row r="30" spans="1:2">
      <c r="A30" s="15"/>
      <c r="B30" s="24"/>
    </row>
    <row r="31" spans="1:2">
      <c r="B31" s="24"/>
    </row>
    <row r="32" spans="1:2">
      <c r="B32" s="24"/>
    </row>
    <row r="33" spans="1:2">
      <c r="B33" s="24"/>
    </row>
    <row r="34" spans="1:2">
      <c r="B34" s="24"/>
    </row>
    <row r="35" spans="1:2">
      <c r="A35" s="1"/>
      <c r="B35" s="24"/>
    </row>
    <row r="36" spans="1:2">
      <c r="A36" s="1"/>
    </row>
    <row r="37" spans="1:2">
      <c r="A37" s="1"/>
    </row>
    <row r="39" spans="1:2">
      <c r="B39" s="20"/>
    </row>
    <row r="40" spans="1:2">
      <c r="B40" s="20"/>
    </row>
    <row r="41" spans="1:2">
      <c r="B41" s="20"/>
    </row>
    <row r="42" spans="1:2">
      <c r="B42" s="24"/>
    </row>
    <row r="43" spans="1:2">
      <c r="B43" s="24"/>
    </row>
    <row r="44" spans="1:2">
      <c r="B44" s="24"/>
    </row>
    <row r="45" spans="1:2">
      <c r="B45" s="24"/>
    </row>
    <row r="46" spans="1:2">
      <c r="B46" s="24"/>
    </row>
    <row r="47" spans="1:2">
      <c r="B47" s="24"/>
    </row>
    <row r="48" spans="1:2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59" spans="2:2">
      <c r="B59" s="15"/>
    </row>
    <row r="60" spans="2:2">
      <c r="B60" s="15"/>
    </row>
    <row r="61" spans="2:2">
      <c r="B61" s="15"/>
    </row>
    <row r="62" spans="2:2">
      <c r="B62" s="15"/>
    </row>
    <row r="63" spans="2:2">
      <c r="B63" s="15"/>
    </row>
    <row r="64" spans="2:2">
      <c r="B64" s="15"/>
    </row>
    <row r="65" spans="1:2">
      <c r="B65" s="15"/>
    </row>
    <row r="66" spans="1:2">
      <c r="B66" s="15"/>
    </row>
    <row r="67" spans="1:2">
      <c r="B67" s="15"/>
    </row>
    <row r="68" spans="1:2">
      <c r="B68" s="15"/>
    </row>
    <row r="69" spans="1:2">
      <c r="B69" s="15"/>
    </row>
    <row r="70" spans="1:2">
      <c r="B70" s="15"/>
    </row>
    <row r="72" spans="1:2">
      <c r="B72" s="24"/>
    </row>
    <row r="75" spans="1:2">
      <c r="B75" s="20"/>
    </row>
    <row r="76" spans="1:2">
      <c r="B76" s="20"/>
    </row>
    <row r="77" spans="1:2">
      <c r="B77" s="20"/>
    </row>
    <row r="79" spans="1:2">
      <c r="B79" s="24"/>
    </row>
    <row r="80" spans="1:2">
      <c r="A80" s="24"/>
      <c r="B80" s="24"/>
    </row>
    <row r="81" spans="1:2">
      <c r="A81" s="24"/>
      <c r="B81" s="24"/>
    </row>
    <row r="82" spans="1:2">
      <c r="A82" s="24"/>
      <c r="B82" s="24"/>
    </row>
    <row r="83" spans="1:2">
      <c r="A83" s="24"/>
      <c r="B83" s="24"/>
    </row>
    <row r="84" spans="1:2">
      <c r="A84" s="24"/>
      <c r="B84" s="24"/>
    </row>
    <row r="85" spans="1:2">
      <c r="A85" s="24"/>
      <c r="B85" s="24"/>
    </row>
    <row r="86" spans="1:2">
      <c r="A86" s="24"/>
      <c r="B86" s="24"/>
    </row>
    <row r="87" spans="1:2">
      <c r="A87" s="24"/>
      <c r="B87" s="24"/>
    </row>
    <row r="88" spans="1:2">
      <c r="A88" s="24"/>
      <c r="B88" s="24"/>
    </row>
    <row r="89" spans="1:2">
      <c r="A89" s="24"/>
      <c r="B89" s="24"/>
    </row>
    <row r="93" spans="1:2">
      <c r="A93" s="24"/>
      <c r="B93" s="24"/>
    </row>
    <row r="94" spans="1:2">
      <c r="A94" s="24"/>
      <c r="B94" s="24"/>
    </row>
    <row r="95" spans="1:2">
      <c r="A95" s="24"/>
      <c r="B95" s="24"/>
    </row>
    <row r="96" spans="1:2">
      <c r="B96" s="15"/>
    </row>
    <row r="97" spans="1:2">
      <c r="B97" s="15"/>
    </row>
    <row r="98" spans="1:2">
      <c r="B98" s="15"/>
    </row>
    <row r="99" spans="1:2">
      <c r="B99" s="24"/>
    </row>
    <row r="100" spans="1:2">
      <c r="B100" s="24"/>
    </row>
    <row r="101" spans="1:2">
      <c r="B101" s="24"/>
    </row>
    <row r="102" spans="1:2">
      <c r="B102" s="24"/>
    </row>
    <row r="103" spans="1:2">
      <c r="B103" s="15"/>
    </row>
    <row r="104" spans="1:2">
      <c r="B104" s="15"/>
    </row>
    <row r="105" spans="1:2">
      <c r="A105" s="24"/>
      <c r="B105" s="24"/>
    </row>
    <row r="106" spans="1:2">
      <c r="A106" s="24"/>
      <c r="B106" s="24"/>
    </row>
    <row r="107" spans="1:2">
      <c r="A107" s="24"/>
      <c r="B107" s="24"/>
    </row>
    <row r="108" spans="1:2">
      <c r="A108" s="24"/>
      <c r="B108" s="24"/>
    </row>
  </sheetData>
  <printOptions gridLines="1" gridLinesSet="0"/>
  <pageMargins left="0.75" right="0.75" top="1" bottom="1" header="0.5" footer="0.5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</vt:lpstr>
      <vt:lpstr>Na-anph. MT-87-1a</vt:lpstr>
      <vt:lpstr>Anph.-Holl</vt:lpstr>
      <vt:lpstr>Biotite</vt:lpstr>
      <vt:lpstr>chlorite_02</vt:lpstr>
      <vt:lpstr>Chl.-Pognnte</vt:lpstr>
      <vt:lpstr>Chltd</vt:lpstr>
      <vt:lpstr>Epidoto</vt:lpstr>
      <vt:lpstr>titanite</vt:lpstr>
      <vt:lpstr>Garnets</vt:lpstr>
      <vt:lpstr>Ms.(Fe2)-Massone</vt:lpstr>
      <vt:lpstr>Paragonit</vt:lpstr>
      <vt:lpstr>Px-Massone</vt:lpstr>
      <vt:lpstr>PX-Powell</vt:lpstr>
      <vt:lpstr>spinel.xls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 SEM</dc:title>
  <dc:subject>basic rock's of Malpica Tuy unit</dc:subject>
  <dc:creator>***</dc:creator>
  <cp:keywords>SEM</cp:keywords>
  <dc:description/>
  <cp:lastModifiedBy>mz</cp:lastModifiedBy>
  <dcterms:created xsi:type="dcterms:W3CDTF">1997-10-01T08:33:38Z</dcterms:created>
  <dcterms:modified xsi:type="dcterms:W3CDTF">2020-12-29T18:51:44Z</dcterms:modified>
</cp:coreProperties>
</file>