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SOM 591 - 2022 Spring\"/>
    </mc:Choice>
  </mc:AlternateContent>
  <bookViews>
    <workbookView xWindow="-105" yWindow="-105" windowWidth="23250" windowHeight="12570"/>
  </bookViews>
  <sheets>
    <sheet name="Tool Crib Queuing Analysis" sheetId="1" r:id="rId1"/>
    <sheet name="Queuing Calculation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B5" i="2" s="1"/>
  <c r="H3" i="2"/>
  <c r="H4" i="2"/>
  <c r="H5" i="2"/>
  <c r="H6" i="2"/>
  <c r="H7" i="2"/>
  <c r="H8" i="2"/>
  <c r="H9" i="2"/>
  <c r="H2" i="2"/>
  <c r="E3" i="2" l="1"/>
  <c r="B3" i="2" s="1"/>
  <c r="A10" i="1" s="1"/>
  <c r="J10" i="1" s="1"/>
  <c r="K4" i="2"/>
  <c r="I4" i="2"/>
  <c r="I8" i="2"/>
  <c r="I5" i="2"/>
  <c r="I6" i="2"/>
  <c r="K9" i="2"/>
  <c r="K8" i="2"/>
  <c r="K7" i="2"/>
  <c r="K6" i="2"/>
  <c r="I3" i="2"/>
  <c r="I7" i="2"/>
  <c r="K5" i="2"/>
  <c r="K2" i="2"/>
  <c r="L2" i="2" s="1"/>
  <c r="M2" i="2" s="1"/>
  <c r="I9" i="2"/>
  <c r="K3" i="2"/>
  <c r="A11" i="1"/>
  <c r="B10" i="1"/>
  <c r="J11" i="1" l="1"/>
  <c r="B11" i="1"/>
  <c r="A12" i="1"/>
  <c r="J8" i="2"/>
  <c r="L8" i="2" s="1"/>
  <c r="M8" i="2" s="1"/>
  <c r="J4" i="2"/>
  <c r="L4" i="2" s="1"/>
  <c r="M4" i="2" s="1"/>
  <c r="E11" i="1" s="1"/>
  <c r="F11" i="1" s="1"/>
  <c r="J5" i="2"/>
  <c r="L5" i="2" s="1"/>
  <c r="M5" i="2" s="1"/>
  <c r="J6" i="2"/>
  <c r="L6" i="2" s="1"/>
  <c r="M6" i="2" s="1"/>
  <c r="J9" i="2"/>
  <c r="L9" i="2" s="1"/>
  <c r="M9" i="2" s="1"/>
  <c r="J7" i="2"/>
  <c r="L7" i="2" s="1"/>
  <c r="M7" i="2" s="1"/>
  <c r="J3" i="2"/>
  <c r="L3" i="2" s="1"/>
  <c r="M3" i="2" s="1"/>
  <c r="E10" i="1" s="1"/>
  <c r="F10" i="1" s="1"/>
  <c r="H10" i="1" l="1"/>
  <c r="I10" i="1" s="1"/>
  <c r="C10" i="1" s="1"/>
  <c r="D10" i="1" s="1"/>
  <c r="G10" i="1"/>
  <c r="G11" i="1"/>
  <c r="H11" i="1"/>
  <c r="I11" i="1" s="1"/>
  <c r="C11" i="1" s="1"/>
  <c r="D11" i="1" s="1"/>
  <c r="J12" i="1"/>
  <c r="B12" i="1"/>
  <c r="A13" i="1"/>
  <c r="E12" i="1"/>
  <c r="F12" i="1" s="1"/>
  <c r="G12" i="1" l="1"/>
  <c r="H12" i="1"/>
  <c r="I12" i="1" s="1"/>
  <c r="C12" i="1" s="1"/>
  <c r="D12" i="1" s="1"/>
  <c r="E13" i="1"/>
  <c r="F13" i="1" s="1"/>
  <c r="J13" i="1"/>
  <c r="B13" i="1"/>
  <c r="A14" i="1"/>
  <c r="J14" i="1" l="1"/>
  <c r="E14" i="1"/>
  <c r="F14" i="1" s="1"/>
  <c r="A15" i="1"/>
  <c r="B14" i="1"/>
  <c r="G13" i="1"/>
  <c r="H13" i="1"/>
  <c r="I13" i="1" s="1"/>
  <c r="C13" i="1" s="1"/>
  <c r="D13" i="1" s="1"/>
  <c r="G14" i="1" l="1"/>
  <c r="H14" i="1"/>
  <c r="I14" i="1" s="1"/>
  <c r="C14" i="1" s="1"/>
  <c r="D14" i="1" s="1"/>
  <c r="J15" i="1"/>
  <c r="A16" i="1"/>
  <c r="B15" i="1"/>
  <c r="E15" i="1"/>
  <c r="F15" i="1" s="1"/>
  <c r="G15" i="1" l="1"/>
  <c r="H15" i="1"/>
  <c r="I15" i="1" s="1"/>
  <c r="C15" i="1" s="1"/>
  <c r="D15" i="1" s="1"/>
  <c r="E16" i="1"/>
  <c r="F16" i="1" s="1"/>
  <c r="J16" i="1"/>
  <c r="B16" i="1"/>
  <c r="H16" i="1" l="1"/>
  <c r="I16" i="1" s="1"/>
  <c r="C16" i="1" s="1"/>
  <c r="D16" i="1" s="1"/>
  <c r="G16" i="1"/>
</calcChain>
</file>

<file path=xl/sharedStrings.xml><?xml version="1.0" encoding="utf-8"?>
<sst xmlns="http://schemas.openxmlformats.org/spreadsheetml/2006/main" count="28" uniqueCount="28">
  <si>
    <t>Otto's Simulation Calculations</t>
  </si>
  <si>
    <t xml:space="preserve">Minimum servers </t>
  </si>
  <si>
    <t>n</t>
  </si>
  <si>
    <t>lamb/mu=</t>
  </si>
  <si>
    <t>sum</t>
  </si>
  <si>
    <t>term</t>
  </si>
  <si>
    <t>final term</t>
  </si>
  <si>
    <t>total</t>
  </si>
  <si>
    <t>n-1</t>
  </si>
  <si>
    <t>Po</t>
  </si>
  <si>
    <t xml:space="preserve"> Servers</t>
  </si>
  <si>
    <t>Service Rate</t>
  </si>
  <si>
    <t>Arrival Rate</t>
  </si>
  <si>
    <t>Results:</t>
  </si>
  <si>
    <t>Factory Labor Cost/Hour</t>
  </si>
  <si>
    <t>Tool Crib Labor Cost/Hour</t>
  </si>
  <si>
    <t>Tool Crib Labor Cost</t>
  </si>
  <si>
    <t>Total Cost Per Hour</t>
  </si>
  <si>
    <t>Factory Workers Waiting Cost</t>
  </si>
  <si>
    <t>Data Input Instructions:</t>
  </si>
  <si>
    <t>Precision Auto Clone Tool Crib Queuing Analysis</t>
  </si>
  <si>
    <t>Probability of No Workers at Tool Crib</t>
  </si>
  <si>
    <t>Average # of Workers Waiting to be Served</t>
  </si>
  <si>
    <t>Average # of Workers at Tool Crib</t>
  </si>
  <si>
    <t>Average Time at Tool Crib (Wait + Service)</t>
  </si>
  <si>
    <t>Average Wait Time for Service to Commence</t>
  </si>
  <si>
    <t>Tool Crib % Idle</t>
  </si>
  <si>
    <t>Enter $10 + $L in Cell G6 and $40.82 + $M in Cell 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</si>
</sst>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&quot;$&quot;#,##0.00"/>
    <numFmt numFmtId="167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0" xfId="0" applyFont="1"/>
    <xf numFmtId="166" fontId="1" fillId="4" borderId="6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Tool Crib Cost Analysis Graph</a:t>
            </a:r>
          </a:p>
        </c:rich>
      </c:tx>
      <c:layout>
        <c:manualLayout>
          <c:xMode val="edge"/>
          <c:yMode val="edge"/>
          <c:x val="0.41979082160184522"/>
          <c:y val="0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'Tool Crib Queuing Analysis'!$B$9</c:f>
              <c:strCache>
                <c:ptCount val="1"/>
                <c:pt idx="0">
                  <c:v>Tool Crib Labor Cost</c:v>
                </c:pt>
              </c:strCache>
            </c:strRef>
          </c:tx>
          <c:xVal>
            <c:numRef>
              <c:f>'Tool Crib Queuing Analysis'!$A$10:$A$16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'Tool Crib Queuing Analysis'!$B$10:$B$16</c:f>
              <c:numCache>
                <c:formatCode>"$"#,##0.00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52-42CB-B623-EE9BBEC87EAC}"/>
            </c:ext>
          </c:extLst>
        </c:ser>
        <c:ser>
          <c:idx val="1"/>
          <c:order val="1"/>
          <c:tx>
            <c:strRef>
              <c:f>'Tool Crib Queuing Analysis'!$C$9</c:f>
              <c:strCache>
                <c:ptCount val="1"/>
                <c:pt idx="0">
                  <c:v>Factory Workers Waiting Cost</c:v>
                </c:pt>
              </c:strCache>
            </c:strRef>
          </c:tx>
          <c:xVal>
            <c:numRef>
              <c:f>'Tool Crib Queuing Analysis'!$A$10:$A$16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'Tool Crib Queuing Analysis'!$C$10:$C$16</c:f>
              <c:numCache>
                <c:formatCode>"$"#,##0.00</c:formatCode>
                <c:ptCount val="7"/>
                <c:pt idx="0">
                  <c:v>222.65454545454554</c:v>
                </c:pt>
                <c:pt idx="1">
                  <c:v>83.328597122302156</c:v>
                </c:pt>
                <c:pt idx="2">
                  <c:v>71.021235331318948</c:v>
                </c:pt>
                <c:pt idx="3">
                  <c:v>68.651278883883151</c:v>
                </c:pt>
                <c:pt idx="4">
                  <c:v>68.155500608813213</c:v>
                </c:pt>
                <c:pt idx="5">
                  <c:v>68.05574505256763</c:v>
                </c:pt>
                <c:pt idx="6">
                  <c:v>68.037117648794521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52-42CB-B623-EE9BBEC87EAC}"/>
            </c:ext>
          </c:extLst>
        </c:ser>
        <c:ser>
          <c:idx val="2"/>
          <c:order val="2"/>
          <c:tx>
            <c:strRef>
              <c:f>'Tool Crib Queuing Analysis'!$D$9</c:f>
              <c:strCache>
                <c:ptCount val="1"/>
                <c:pt idx="0">
                  <c:v>Total Cost Per Hour</c:v>
                </c:pt>
              </c:strCache>
            </c:strRef>
          </c:tx>
          <c:xVal>
            <c:numRef>
              <c:f>'Tool Crib Queuing Analysis'!$A$10:$A$16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'Tool Crib Queuing Analysis'!$D$10:$D$16</c:f>
              <c:numCache>
                <c:formatCode>"$"#,##0.00</c:formatCode>
                <c:ptCount val="7"/>
                <c:pt idx="0">
                  <c:v>242.65454545454554</c:v>
                </c:pt>
                <c:pt idx="1">
                  <c:v>113.32859712230216</c:v>
                </c:pt>
                <c:pt idx="2">
                  <c:v>111.02123533131895</c:v>
                </c:pt>
                <c:pt idx="3">
                  <c:v>118.65127888388315</c:v>
                </c:pt>
                <c:pt idx="4">
                  <c:v>128.15550060881321</c:v>
                </c:pt>
                <c:pt idx="5">
                  <c:v>138.05574505256763</c:v>
                </c:pt>
                <c:pt idx="6">
                  <c:v>148.03711764879452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52-42CB-B623-EE9BBEC8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14368"/>
        <c:axId val="470249928"/>
      </c:scatterChart>
      <c:valAx>
        <c:axId val="464714368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Tool Crib Workers</a:t>
                </a:r>
              </a:p>
            </c:rich>
          </c:tx>
          <c:layout>
            <c:manualLayout>
              <c:xMode val="edge"/>
              <c:yMode val="edge"/>
              <c:x val="0.3152335692886874"/>
              <c:y val="0.944426002766251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0249928"/>
        <c:crosses val="autoZero"/>
        <c:crossBetween val="midCat"/>
      </c:valAx>
      <c:valAx>
        <c:axId val="47024992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Cost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6471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180974</xdr:rowOff>
    </xdr:from>
    <xdr:to>
      <xdr:col>9</xdr:col>
      <xdr:colOff>485775</xdr:colOff>
      <xdr:row>46</xdr:row>
      <xdr:rowOff>47624</xdr:rowOff>
    </xdr:to>
    <xdr:graphicFrame macro="">
      <xdr:nvGraphicFramePr>
        <xdr:cNvPr id="1060" name="Chart 1"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3" workbookViewId="0">
      <selection activeCell="B16" sqref="B16"/>
    </sheetView>
  </sheetViews>
  <sheetFormatPr defaultColWidth="9.140625" defaultRowHeight="12.75" x14ac:dyDescent="0.2"/>
  <cols>
    <col min="1" max="1" width="9.140625" style="7" customWidth="1"/>
    <col min="2" max="2" width="16.85546875" style="7" customWidth="1"/>
    <col min="3" max="3" width="10.7109375" style="7" customWidth="1"/>
    <col min="4" max="4" width="8.7109375" style="7" customWidth="1"/>
    <col min="5" max="5" width="14.85546875" style="7" customWidth="1"/>
    <col min="6" max="6" width="12.140625" style="7" customWidth="1"/>
    <col min="7" max="7" width="11.140625" style="7" customWidth="1"/>
    <col min="8" max="8" width="14.28515625" style="7" customWidth="1"/>
    <col min="9" max="9" width="12.42578125" style="7" customWidth="1"/>
    <col min="10" max="10" width="7.7109375" style="7" customWidth="1"/>
    <col min="11" max="16384" width="9.140625" style="7"/>
  </cols>
  <sheetData>
    <row r="1" spans="1:10" ht="15.95" customHeight="1" x14ac:dyDescent="0.2"/>
    <row r="2" spans="1:10" ht="15.95" customHeight="1" x14ac:dyDescent="0.25">
      <c r="A2" s="25" t="s">
        <v>20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5.95" customHeight="1" x14ac:dyDescent="0.2"/>
    <row r="4" spans="1:10" ht="15.95" customHeight="1" x14ac:dyDescent="0.25">
      <c r="A4" s="21" t="s">
        <v>19</v>
      </c>
      <c r="B4" s="21"/>
      <c r="C4" s="21" t="s">
        <v>27</v>
      </c>
      <c r="D4" s="22"/>
      <c r="E4" s="22"/>
      <c r="F4" s="22"/>
    </row>
    <row r="5" spans="1:10" ht="15.95" customHeight="1" x14ac:dyDescent="0.2">
      <c r="A5" s="8"/>
      <c r="B5" s="8"/>
      <c r="C5" s="8"/>
      <c r="D5" s="8"/>
      <c r="H5" s="14"/>
      <c r="I5" s="14"/>
      <c r="J5" s="14"/>
    </row>
    <row r="6" spans="1:10" ht="15.95" customHeight="1" x14ac:dyDescent="0.2">
      <c r="B6" s="2" t="s">
        <v>12</v>
      </c>
      <c r="C6" s="23">
        <v>25</v>
      </c>
      <c r="E6" s="2" t="s">
        <v>15</v>
      </c>
      <c r="F6" s="4"/>
      <c r="G6" s="18">
        <v>10</v>
      </c>
      <c r="H6" s="20"/>
      <c r="I6" s="14"/>
    </row>
    <row r="7" spans="1:10" ht="15.95" customHeight="1" x14ac:dyDescent="0.2">
      <c r="B7" s="3" t="s">
        <v>11</v>
      </c>
      <c r="C7" s="24">
        <v>15</v>
      </c>
      <c r="E7" s="3" t="s">
        <v>14</v>
      </c>
      <c r="F7" s="5"/>
      <c r="G7" s="19">
        <v>40.82</v>
      </c>
      <c r="H7" s="20"/>
      <c r="I7" s="14"/>
    </row>
    <row r="8" spans="1:10" ht="18" customHeight="1" x14ac:dyDescent="0.2">
      <c r="A8" s="8" t="s">
        <v>13</v>
      </c>
      <c r="B8" s="8"/>
      <c r="C8" s="8"/>
      <c r="D8" s="8"/>
    </row>
    <row r="9" spans="1:10" ht="49.5" customHeight="1" x14ac:dyDescent="0.2">
      <c r="A9" s="6" t="s">
        <v>10</v>
      </c>
      <c r="B9" s="16" t="s">
        <v>16</v>
      </c>
      <c r="C9" s="16" t="s">
        <v>18</v>
      </c>
      <c r="D9" s="16" t="s">
        <v>17</v>
      </c>
      <c r="E9" s="16" t="s">
        <v>21</v>
      </c>
      <c r="F9" s="16" t="s">
        <v>22</v>
      </c>
      <c r="G9" s="16" t="s">
        <v>23</v>
      </c>
      <c r="H9" s="16" t="s">
        <v>25</v>
      </c>
      <c r="I9" s="16" t="s">
        <v>24</v>
      </c>
      <c r="J9" s="16" t="s">
        <v>26</v>
      </c>
    </row>
    <row r="10" spans="1:10" ht="15.95" customHeight="1" x14ac:dyDescent="0.2">
      <c r="A10" s="9">
        <f>'Queuing Calculations'!B3</f>
        <v>2</v>
      </c>
      <c r="B10" s="15">
        <f t="shared" ref="B10:B16" si="0">A10*$G$6</f>
        <v>20</v>
      </c>
      <c r="C10" s="15">
        <f t="shared" ref="C10:C16" si="1">I10*$C$6*$G$7</f>
        <v>222.65454545454554</v>
      </c>
      <c r="D10" s="15">
        <f>B10+C10</f>
        <v>242.65454545454554</v>
      </c>
      <c r="E10" s="10">
        <f>VLOOKUP(A10,'Queuing Calculations'!G1:'Queuing Calculations'!M21,7)</f>
        <v>9.0909090909090884E-2</v>
      </c>
      <c r="F10" s="11">
        <f t="shared" ref="F10:F16" si="2">(E10*(($C$6/$C$7)^(A10+1)))/((A10)*FACT(A10)*((1-($C$6/(A10*$C$7)))^2))</f>
        <v>3.7878787878787894</v>
      </c>
      <c r="G10" s="11">
        <f t="shared" ref="G10:G16" si="3">F10+($C$6/$C$7)</f>
        <v>5.4545454545454559</v>
      </c>
      <c r="H10" s="11">
        <f t="shared" ref="H10:H16" si="4">F10/$C$6</f>
        <v>0.15151515151515157</v>
      </c>
      <c r="I10" s="12">
        <f t="shared" ref="I10:I16" si="5">H10+(1/$C$7)</f>
        <v>0.21818181818181825</v>
      </c>
      <c r="J10" s="13">
        <f t="shared" ref="J10:J16" si="6">((1-($C$6/(A10*$C$7))))</f>
        <v>0.16666666666666663</v>
      </c>
    </row>
    <row r="11" spans="1:10" ht="15.95" customHeight="1" x14ac:dyDescent="0.2">
      <c r="A11" s="9">
        <f t="shared" ref="A11:A16" si="7">A10+1</f>
        <v>3</v>
      </c>
      <c r="B11" s="15">
        <f t="shared" si="0"/>
        <v>30</v>
      </c>
      <c r="C11" s="15">
        <f t="shared" si="1"/>
        <v>83.328597122302156</v>
      </c>
      <c r="D11" s="15">
        <f t="shared" ref="D11:D16" si="8">B11+C11</f>
        <v>113.32859712230216</v>
      </c>
      <c r="E11" s="10">
        <f>VLOOKUP(A11,'Queuing Calculations'!G2:'Queuing Calculations'!M22,7)</f>
        <v>0.17266187050359708</v>
      </c>
      <c r="F11" s="11">
        <f t="shared" si="2"/>
        <v>0.37470023980815348</v>
      </c>
      <c r="G11" s="11">
        <f t="shared" si="3"/>
        <v>2.0413669064748201</v>
      </c>
      <c r="H11" s="11">
        <f t="shared" si="4"/>
        <v>1.498800959232614E-2</v>
      </c>
      <c r="I11" s="12">
        <f t="shared" si="5"/>
        <v>8.1654676258992809E-2</v>
      </c>
      <c r="J11" s="13">
        <f t="shared" si="6"/>
        <v>0.44444444444444442</v>
      </c>
    </row>
    <row r="12" spans="1:10" ht="15.95" customHeight="1" x14ac:dyDescent="0.2">
      <c r="A12" s="9">
        <f t="shared" si="7"/>
        <v>4</v>
      </c>
      <c r="B12" s="15">
        <f t="shared" si="0"/>
        <v>40</v>
      </c>
      <c r="C12" s="15">
        <f t="shared" si="1"/>
        <v>71.021235331318948</v>
      </c>
      <c r="D12" s="15">
        <f t="shared" si="8"/>
        <v>111.02123533131895</v>
      </c>
      <c r="E12" s="10">
        <f>VLOOKUP(A12,'Queuing Calculations'!G3:'Queuing Calculations'!M23,7)</f>
        <v>0.1859321200196753</v>
      </c>
      <c r="F12" s="11">
        <f t="shared" si="2"/>
        <v>7.3197011219637897E-2</v>
      </c>
      <c r="G12" s="11">
        <f t="shared" si="3"/>
        <v>1.7398636778863046</v>
      </c>
      <c r="H12" s="11">
        <f t="shared" si="4"/>
        <v>2.927880448785516E-3</v>
      </c>
      <c r="I12" s="12">
        <f t="shared" si="5"/>
        <v>6.9594547115452182E-2</v>
      </c>
      <c r="J12" s="13">
        <f t="shared" si="6"/>
        <v>0.58333333333333326</v>
      </c>
    </row>
    <row r="13" spans="1:10" ht="15.95" customHeight="1" x14ac:dyDescent="0.2">
      <c r="A13" s="9">
        <f t="shared" si="7"/>
        <v>5</v>
      </c>
      <c r="B13" s="15">
        <f t="shared" si="0"/>
        <v>50</v>
      </c>
      <c r="C13" s="15">
        <f t="shared" si="1"/>
        <v>68.651278883883151</v>
      </c>
      <c r="D13" s="15">
        <f t="shared" si="8"/>
        <v>118.65127888388315</v>
      </c>
      <c r="E13" s="10">
        <f>VLOOKUP(A13,'Queuing Calculations'!G4:'Queuing Calculations'!M24,7)</f>
        <v>0.18834471733759625</v>
      </c>
      <c r="F13" s="11">
        <f t="shared" si="2"/>
        <v>1.5138303541151964E-2</v>
      </c>
      <c r="G13" s="11">
        <f t="shared" si="3"/>
        <v>1.6818049702078186</v>
      </c>
      <c r="H13" s="11">
        <f t="shared" si="4"/>
        <v>6.0553214164607854E-4</v>
      </c>
      <c r="I13" s="12">
        <f t="shared" si="5"/>
        <v>6.7272198808312741E-2</v>
      </c>
      <c r="J13" s="13">
        <f t="shared" si="6"/>
        <v>0.66666666666666674</v>
      </c>
    </row>
    <row r="14" spans="1:10" ht="15.95" customHeight="1" x14ac:dyDescent="0.2">
      <c r="A14" s="9">
        <f t="shared" si="7"/>
        <v>6</v>
      </c>
      <c r="B14" s="15">
        <f t="shared" si="0"/>
        <v>60</v>
      </c>
      <c r="C14" s="15">
        <f t="shared" si="1"/>
        <v>68.155500608813213</v>
      </c>
      <c r="D14" s="15">
        <f t="shared" si="8"/>
        <v>128.15550060881321</v>
      </c>
      <c r="E14" s="10">
        <f>VLOOKUP(A14,'Queuing Calculations'!G5:'Queuing Calculations'!M25,7)</f>
        <v>0.18878439047711529</v>
      </c>
      <c r="F14" s="11">
        <f t="shared" si="2"/>
        <v>2.9928288946568285E-3</v>
      </c>
      <c r="G14" s="11">
        <f t="shared" si="3"/>
        <v>1.6696594955613235</v>
      </c>
      <c r="H14" s="11">
        <f t="shared" si="4"/>
        <v>1.1971315578627315E-4</v>
      </c>
      <c r="I14" s="12">
        <f t="shared" si="5"/>
        <v>6.6786379822452932E-2</v>
      </c>
      <c r="J14" s="13">
        <f t="shared" si="6"/>
        <v>0.72222222222222221</v>
      </c>
    </row>
    <row r="15" spans="1:10" ht="15.95" customHeight="1" x14ac:dyDescent="0.2">
      <c r="A15" s="9">
        <f t="shared" si="7"/>
        <v>7</v>
      </c>
      <c r="B15" s="15">
        <f t="shared" si="0"/>
        <v>70</v>
      </c>
      <c r="C15" s="15">
        <f t="shared" si="1"/>
        <v>68.05574505256763</v>
      </c>
      <c r="D15" s="15">
        <f t="shared" si="8"/>
        <v>138.05574505256763</v>
      </c>
      <c r="E15" s="10">
        <f>VLOOKUP(A15,'Queuing Calculations'!G6:'Queuing Calculations'!M26,7)</f>
        <v>0.18886093183024127</v>
      </c>
      <c r="F15" s="11">
        <f t="shared" si="2"/>
        <v>5.4903770784652602E-4</v>
      </c>
      <c r="G15" s="11">
        <f t="shared" si="3"/>
        <v>1.6672157043745133</v>
      </c>
      <c r="H15" s="11">
        <f t="shared" si="4"/>
        <v>2.196150831386104E-5</v>
      </c>
      <c r="I15" s="12">
        <f t="shared" si="5"/>
        <v>6.668862817498053E-2</v>
      </c>
      <c r="J15" s="13">
        <f t="shared" si="6"/>
        <v>0.76190476190476186</v>
      </c>
    </row>
    <row r="16" spans="1:10" ht="15.95" customHeight="1" x14ac:dyDescent="0.2">
      <c r="A16" s="9">
        <f t="shared" si="7"/>
        <v>8</v>
      </c>
      <c r="B16" s="15">
        <f t="shared" si="0"/>
        <v>80</v>
      </c>
      <c r="C16" s="15">
        <f t="shared" si="1"/>
        <v>68.037117648794521</v>
      </c>
      <c r="D16" s="15">
        <f t="shared" si="8"/>
        <v>148.03711764879452</v>
      </c>
      <c r="E16" s="10">
        <f>VLOOKUP(A16,'Queuing Calculations'!G7:'Queuing Calculations'!M27,7)</f>
        <v>0.18887340685248144</v>
      </c>
      <c r="F16" s="11">
        <f t="shared" si="2"/>
        <v>9.2707385134806444E-5</v>
      </c>
      <c r="G16" s="11">
        <f t="shared" si="3"/>
        <v>1.6667593740518016</v>
      </c>
      <c r="H16" s="11">
        <f t="shared" si="4"/>
        <v>3.7082954053922579E-6</v>
      </c>
      <c r="I16" s="12">
        <f t="shared" si="5"/>
        <v>6.6670374962072051E-2</v>
      </c>
      <c r="J16" s="13">
        <f t="shared" si="6"/>
        <v>0.79166666666666663</v>
      </c>
    </row>
    <row r="17" ht="15.95" customHeight="1" x14ac:dyDescent="0.2"/>
    <row r="18" ht="15.95" customHeight="1" x14ac:dyDescent="0.2"/>
  </sheetData>
  <mergeCells count="1">
    <mergeCell ref="A2:J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41" sqref="K41:L41"/>
    </sheetView>
  </sheetViews>
  <sheetFormatPr defaultRowHeight="12.75" x14ac:dyDescent="0.2"/>
  <cols>
    <col min="1" max="1" width="15.140625" customWidth="1"/>
  </cols>
  <sheetData>
    <row r="1" spans="1:13" x14ac:dyDescent="0.2">
      <c r="D1" t="s">
        <v>0</v>
      </c>
      <c r="G1" t="s">
        <v>2</v>
      </c>
      <c r="H1" s="1" t="s">
        <v>8</v>
      </c>
      <c r="I1" t="s">
        <v>5</v>
      </c>
      <c r="J1" t="s">
        <v>4</v>
      </c>
      <c r="K1" t="s">
        <v>6</v>
      </c>
      <c r="L1" t="s">
        <v>7</v>
      </c>
      <c r="M1" t="s">
        <v>9</v>
      </c>
    </row>
    <row r="2" spans="1:13" x14ac:dyDescent="0.2">
      <c r="G2">
        <v>1</v>
      </c>
      <c r="H2" s="1">
        <f t="shared" ref="H2:H9" si="0">G2-1</f>
        <v>0</v>
      </c>
      <c r="I2">
        <v>1</v>
      </c>
      <c r="J2">
        <v>1</v>
      </c>
      <c r="K2">
        <f t="shared" ref="K2:K9" si="1">($B$5^G2)/(FACT(G2)*(1-$C$3/($D$3*G2)))</f>
        <v>-2.5</v>
      </c>
      <c r="L2">
        <f t="shared" ref="L2:L9" si="2">J2+K2</f>
        <v>-1.5</v>
      </c>
      <c r="M2">
        <f t="shared" ref="M2:M9" si="3">(L2^-1)</f>
        <v>-0.66666666666666663</v>
      </c>
    </row>
    <row r="3" spans="1:13" x14ac:dyDescent="0.2">
      <c r="A3" t="s">
        <v>1</v>
      </c>
      <c r="B3">
        <f>E3</f>
        <v>2</v>
      </c>
      <c r="C3">
        <f>'Tool Crib Queuing Analysis'!C6</f>
        <v>25</v>
      </c>
      <c r="D3">
        <f>'Tool Crib Queuing Analysis'!C7</f>
        <v>15</v>
      </c>
      <c r="E3">
        <f>INT(C3/D3) + 1</f>
        <v>2</v>
      </c>
      <c r="G3">
        <v>2</v>
      </c>
      <c r="H3" s="1">
        <f t="shared" si="0"/>
        <v>1</v>
      </c>
      <c r="I3">
        <f t="shared" ref="I3:I9" si="4">(($B$5)^H3)/FACT(H3)</f>
        <v>1.6666666666666667</v>
      </c>
      <c r="J3">
        <f>SUM($I$2:I3)</f>
        <v>2.666666666666667</v>
      </c>
      <c r="K3">
        <f t="shared" si="1"/>
        <v>8.3333333333333357</v>
      </c>
      <c r="L3">
        <f t="shared" si="2"/>
        <v>11.000000000000004</v>
      </c>
      <c r="M3">
        <f t="shared" si="3"/>
        <v>9.0909090909090884E-2</v>
      </c>
    </row>
    <row r="4" spans="1:13" x14ac:dyDescent="0.2">
      <c r="G4">
        <v>3</v>
      </c>
      <c r="H4" s="1">
        <f t="shared" si="0"/>
        <v>2</v>
      </c>
      <c r="I4">
        <f t="shared" si="4"/>
        <v>1.3888888888888891</v>
      </c>
      <c r="J4">
        <f>SUM($I$2:I4)</f>
        <v>4.0555555555555562</v>
      </c>
      <c r="K4">
        <f t="shared" si="1"/>
        <v>1.7361111111111116</v>
      </c>
      <c r="L4">
        <f t="shared" si="2"/>
        <v>5.7916666666666679</v>
      </c>
      <c r="M4">
        <f t="shared" si="3"/>
        <v>0.17266187050359708</v>
      </c>
    </row>
    <row r="5" spans="1:13" x14ac:dyDescent="0.2">
      <c r="A5" t="s">
        <v>3</v>
      </c>
      <c r="B5">
        <f>C3/D3</f>
        <v>1.6666666666666667</v>
      </c>
      <c r="G5">
        <v>4</v>
      </c>
      <c r="H5" s="1">
        <f t="shared" si="0"/>
        <v>3</v>
      </c>
      <c r="I5">
        <f t="shared" si="4"/>
        <v>0.77160493827160515</v>
      </c>
      <c r="J5">
        <f>SUM($I$2:I5)</f>
        <v>4.8271604938271615</v>
      </c>
      <c r="K5">
        <f t="shared" si="1"/>
        <v>0.55114638447971809</v>
      </c>
      <c r="L5">
        <f t="shared" si="2"/>
        <v>5.3783068783068799</v>
      </c>
      <c r="M5">
        <f t="shared" si="3"/>
        <v>0.1859321200196753</v>
      </c>
    </row>
    <row r="6" spans="1:13" x14ac:dyDescent="0.2">
      <c r="G6">
        <v>5</v>
      </c>
      <c r="H6" s="1">
        <f t="shared" si="0"/>
        <v>4</v>
      </c>
      <c r="I6">
        <f t="shared" si="4"/>
        <v>0.3215020576131688</v>
      </c>
      <c r="J6">
        <f>SUM($I$2:I6)</f>
        <v>5.1486625514403306</v>
      </c>
      <c r="K6">
        <f t="shared" si="1"/>
        <v>0.16075102880658437</v>
      </c>
      <c r="L6">
        <f t="shared" si="2"/>
        <v>5.3094135802469147</v>
      </c>
      <c r="M6">
        <f t="shared" si="3"/>
        <v>0.18834471733759625</v>
      </c>
    </row>
    <row r="7" spans="1:13" x14ac:dyDescent="0.2">
      <c r="G7">
        <v>6</v>
      </c>
      <c r="H7" s="1">
        <f t="shared" si="0"/>
        <v>5</v>
      </c>
      <c r="I7">
        <f t="shared" si="4"/>
        <v>0.10716735253772294</v>
      </c>
      <c r="J7">
        <f>SUM($I$2:I7)</f>
        <v>5.2558299039780536</v>
      </c>
      <c r="K7">
        <f t="shared" si="1"/>
        <v>4.1218212514508829E-2</v>
      </c>
      <c r="L7">
        <f t="shared" si="2"/>
        <v>5.2970481164925625</v>
      </c>
      <c r="M7">
        <f t="shared" si="3"/>
        <v>0.18878439047711529</v>
      </c>
    </row>
    <row r="8" spans="1:13" x14ac:dyDescent="0.2">
      <c r="G8">
        <v>7</v>
      </c>
      <c r="H8" s="1">
        <f t="shared" si="0"/>
        <v>6</v>
      </c>
      <c r="I8">
        <f t="shared" si="4"/>
        <v>2.9768709038256378E-2</v>
      </c>
      <c r="J8">
        <f>SUM($I$2:I8)</f>
        <v>5.28559861301631</v>
      </c>
      <c r="K8">
        <f t="shared" si="1"/>
        <v>9.3027215744551171E-3</v>
      </c>
      <c r="L8">
        <f t="shared" si="2"/>
        <v>5.2949013345907652</v>
      </c>
      <c r="M8">
        <f t="shared" si="3"/>
        <v>0.18886093183024127</v>
      </c>
    </row>
    <row r="9" spans="1:13" x14ac:dyDescent="0.2">
      <c r="G9">
        <v>8</v>
      </c>
      <c r="H9" s="1">
        <f t="shared" si="0"/>
        <v>7</v>
      </c>
      <c r="I9">
        <f t="shared" si="4"/>
        <v>7.0877878662515183E-3</v>
      </c>
      <c r="J9">
        <f>SUM($I$2:I9)</f>
        <v>5.2926864008825616</v>
      </c>
      <c r="K9">
        <f t="shared" si="1"/>
        <v>1.8652073332240842E-3</v>
      </c>
      <c r="L9">
        <f t="shared" si="2"/>
        <v>5.2945516082157855</v>
      </c>
      <c r="M9">
        <f t="shared" si="3"/>
        <v>0.18887340685248144</v>
      </c>
    </row>
    <row r="10" spans="1:13" x14ac:dyDescent="0.2">
      <c r="H10" s="1"/>
    </row>
    <row r="11" spans="1:13" x14ac:dyDescent="0.2">
      <c r="H11" s="1"/>
    </row>
    <row r="12" spans="1:13" x14ac:dyDescent="0.2">
      <c r="H12" s="1"/>
    </row>
    <row r="13" spans="1:13" x14ac:dyDescent="0.2">
      <c r="H13" s="1"/>
    </row>
    <row r="14" spans="1:13" x14ac:dyDescent="0.2">
      <c r="H14" s="1"/>
    </row>
    <row r="15" spans="1:13" x14ac:dyDescent="0.2">
      <c r="H15" s="1"/>
    </row>
    <row r="16" spans="1:13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44" spans="2:2" x14ac:dyDescent="0.2">
      <c r="B44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 Crib Queuing Analysis</vt:lpstr>
      <vt:lpstr>Queuing Calculations</vt:lpstr>
    </vt:vector>
  </TitlesOfParts>
  <Company>CSU, Northridge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Wedel</dc:creator>
  <cp:lastModifiedBy>Windows User</cp:lastModifiedBy>
  <cp:lastPrinted>2002-09-15T00:08:06Z</cp:lastPrinted>
  <dcterms:created xsi:type="dcterms:W3CDTF">2002-09-12T22:31:56Z</dcterms:created>
  <dcterms:modified xsi:type="dcterms:W3CDTF">2021-12-24T05:34:57Z</dcterms:modified>
</cp:coreProperties>
</file>