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3040" windowHeight="963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1"/>
  <c r="AE3" s="1"/>
  <c r="Z4"/>
  <c r="AE4" s="1"/>
  <c r="Z5"/>
  <c r="Z6"/>
  <c r="Z7"/>
  <c r="Z8"/>
  <c r="Z9"/>
  <c r="Z10"/>
  <c r="Z11"/>
  <c r="Z12"/>
  <c r="AE12" s="1"/>
  <c r="Z13"/>
  <c r="Z14"/>
  <c r="Z15"/>
  <c r="Z16"/>
  <c r="Z17"/>
  <c r="AE17" s="1"/>
  <c r="Z18"/>
  <c r="Z19"/>
  <c r="Z20"/>
  <c r="AE20" s="1"/>
  <c r="Z21"/>
  <c r="Z22"/>
  <c r="Z23"/>
  <c r="Z24"/>
  <c r="Z25"/>
  <c r="AE25" s="1"/>
  <c r="Z26"/>
  <c r="Z27"/>
  <c r="Z28"/>
  <c r="AE28" s="1"/>
  <c r="Z29"/>
  <c r="Z30"/>
  <c r="Z1"/>
  <c r="AE1" s="1"/>
  <c r="Z2"/>
  <c r="AE2" s="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7"/>
  <c r="AH28"/>
  <c r="AH29"/>
  <c r="AH30"/>
  <c r="AH1"/>
  <c r="AI1"/>
  <c r="AI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7"/>
  <c r="AI28"/>
  <c r="AI29"/>
  <c r="AI30"/>
  <c r="AE5"/>
  <c r="AE6"/>
  <c r="AE7"/>
  <c r="AE8"/>
  <c r="AE9"/>
  <c r="AE10"/>
  <c r="AE11"/>
  <c r="AE13"/>
  <c r="AE14"/>
  <c r="AE15"/>
  <c r="AE18"/>
  <c r="AE19"/>
  <c r="AE21"/>
  <c r="AE22"/>
  <c r="AE23"/>
  <c r="AE24"/>
  <c r="AE26"/>
  <c r="AE27"/>
  <c r="AE29"/>
  <c r="AE30"/>
  <c r="AE16"/>
  <c r="V1"/>
  <c r="K9" l="1"/>
  <c r="J14"/>
  <c r="J10"/>
  <c r="J11"/>
  <c r="J12"/>
  <c r="J13"/>
  <c r="J9"/>
  <c r="F66"/>
  <c r="H67"/>
  <c r="J67" s="1"/>
  <c r="H68"/>
  <c r="J68" s="1"/>
  <c r="H69"/>
  <c r="J69" s="1"/>
  <c r="H70"/>
  <c r="J70" s="1"/>
  <c r="H71"/>
  <c r="J71" s="1"/>
  <c r="H72"/>
  <c r="J72" s="1"/>
  <c r="H73"/>
  <c r="J73" s="1"/>
  <c r="H74"/>
  <c r="J74" s="1"/>
  <c r="H75"/>
  <c r="J75" s="1"/>
  <c r="H76"/>
  <c r="J76" s="1"/>
  <c r="H77"/>
  <c r="J77" s="1"/>
  <c r="H78"/>
  <c r="J78" s="1"/>
  <c r="H79"/>
  <c r="J79" s="1"/>
  <c r="H80"/>
  <c r="J80" s="1"/>
  <c r="H81"/>
  <c r="J81" s="1"/>
  <c r="H82"/>
  <c r="J82" s="1"/>
  <c r="H83"/>
  <c r="J83" s="1"/>
  <c r="H84"/>
  <c r="J84" s="1"/>
  <c r="H85"/>
  <c r="J85" s="1"/>
  <c r="H86"/>
  <c r="J86" s="1"/>
  <c r="H87"/>
  <c r="J87" s="1"/>
  <c r="H88"/>
  <c r="J88" s="1"/>
  <c r="H89"/>
  <c r="J89" s="1"/>
  <c r="H66"/>
  <c r="J66" s="1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91" l="1"/>
  <c r="M9"/>
  <c r="F90"/>
  <c r="V10"/>
  <c r="V2" l="1"/>
  <c r="V3"/>
  <c r="V4"/>
  <c r="V5"/>
  <c r="V6"/>
  <c r="V7"/>
  <c r="V8"/>
  <c r="V9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H1" l="1"/>
  <c r="K10"/>
  <c r="M10" s="1"/>
  <c r="K11"/>
  <c r="M11" s="1"/>
  <c r="K12"/>
  <c r="M12" s="1"/>
  <c r="K13"/>
  <c r="M13" s="1"/>
  <c r="K14"/>
  <c r="M14" s="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F2"/>
  <c r="X2" s="1"/>
  <c r="AC2" s="1"/>
  <c r="F3"/>
  <c r="X3" s="1"/>
  <c r="AC3" s="1"/>
  <c r="X4"/>
  <c r="AC4" s="1"/>
  <c r="X5"/>
  <c r="AC5" s="1"/>
  <c r="X6"/>
  <c r="AC6" s="1"/>
  <c r="X7"/>
  <c r="AC7" s="1"/>
  <c r="X8"/>
  <c r="AC8" s="1"/>
  <c r="X9"/>
  <c r="AC9" s="1"/>
  <c r="X10"/>
  <c r="AC10" s="1"/>
  <c r="X11"/>
  <c r="AC11" s="1"/>
  <c r="X12"/>
  <c r="AC12" s="1"/>
  <c r="X13"/>
  <c r="AC13" s="1"/>
  <c r="X14"/>
  <c r="AC14" s="1"/>
  <c r="X15"/>
  <c r="AC15" s="1"/>
  <c r="X16"/>
  <c r="AC16" s="1"/>
  <c r="X17"/>
  <c r="AC17" s="1"/>
  <c r="X18"/>
  <c r="AC18" s="1"/>
  <c r="X19"/>
  <c r="AC19" s="1"/>
  <c r="X20"/>
  <c r="AC20" s="1"/>
  <c r="X21"/>
  <c r="AC21" s="1"/>
  <c r="X22"/>
  <c r="AC22" s="1"/>
  <c r="X27"/>
  <c r="AC27" s="1"/>
  <c r="X28"/>
  <c r="AC28" s="1"/>
  <c r="X29"/>
  <c r="AC29" s="1"/>
  <c r="X30"/>
  <c r="AC30" s="1"/>
  <c r="F1"/>
  <c r="W3" l="1"/>
  <c r="AB3" s="1"/>
  <c r="AG3"/>
  <c r="W20"/>
  <c r="AB20" s="1"/>
  <c r="AG20"/>
  <c r="W12"/>
  <c r="AB12" s="1"/>
  <c r="AG12"/>
  <c r="W4"/>
  <c r="AB4" s="1"/>
  <c r="AG4"/>
  <c r="W1"/>
  <c r="AB1" s="1"/>
  <c r="AG1"/>
  <c r="W22"/>
  <c r="AB22" s="1"/>
  <c r="AG22"/>
  <c r="W14"/>
  <c r="AB14" s="1"/>
  <c r="AG14"/>
  <c r="W6"/>
  <c r="AB6" s="1"/>
  <c r="AG6"/>
  <c r="W19"/>
  <c r="AB19" s="1"/>
  <c r="AG19"/>
  <c r="W27"/>
  <c r="AB27" s="1"/>
  <c r="AG27"/>
  <c r="W15"/>
  <c r="AB15" s="1"/>
  <c r="AG15"/>
  <c r="W7"/>
  <c r="AB7" s="1"/>
  <c r="AG7"/>
  <c r="W21"/>
  <c r="AB21" s="1"/>
  <c r="AG21"/>
  <c r="W28"/>
  <c r="AB28" s="1"/>
  <c r="AG28"/>
  <c r="W16"/>
  <c r="AB16" s="1"/>
  <c r="AG16"/>
  <c r="W8"/>
  <c r="AB8" s="1"/>
  <c r="AG8"/>
  <c r="W11"/>
  <c r="AB11" s="1"/>
  <c r="AG11"/>
  <c r="W13"/>
  <c r="AB13" s="1"/>
  <c r="AG13"/>
  <c r="W29"/>
  <c r="AB29" s="1"/>
  <c r="AG29"/>
  <c r="W17"/>
  <c r="AB17" s="1"/>
  <c r="AG17"/>
  <c r="W9"/>
  <c r="AB9" s="1"/>
  <c r="AG9"/>
  <c r="W5"/>
  <c r="AB5" s="1"/>
  <c r="AG5"/>
  <c r="W30"/>
  <c r="AB30" s="1"/>
  <c r="AG30"/>
  <c r="W18"/>
  <c r="AB18" s="1"/>
  <c r="AG18"/>
  <c r="W10"/>
  <c r="AB10" s="1"/>
  <c r="AG10"/>
  <c r="W2"/>
  <c r="AB2" s="1"/>
  <c r="AG2"/>
  <c r="R2"/>
  <c r="Q2"/>
  <c r="J50"/>
  <c r="X1"/>
  <c r="AC1" s="1"/>
  <c r="M2"/>
  <c r="N2" s="1"/>
</calcChain>
</file>

<file path=xl/sharedStrings.xml><?xml version="1.0" encoding="utf-8"?>
<sst xmlns="http://schemas.openxmlformats.org/spreadsheetml/2006/main" count="31" uniqueCount="25">
  <si>
    <t>Mean</t>
  </si>
  <si>
    <t>Exposure Time (s)</t>
  </si>
  <si>
    <t>Dark Charge</t>
  </si>
  <si>
    <t>Time (ms)</t>
  </si>
  <si>
    <r>
      <t>Temp (</t>
    </r>
    <r>
      <rPr>
        <b/>
        <sz val="11"/>
        <color theme="1"/>
        <rFont val="Calibri"/>
        <family val="2"/>
      </rPr>
      <t>°</t>
    </r>
    <r>
      <rPr>
        <b/>
        <sz val="8.8000000000000007"/>
        <color theme="1"/>
        <rFont val="Calibri"/>
        <family val="2"/>
      </rPr>
      <t>C)</t>
    </r>
  </si>
  <si>
    <t>Mean DN</t>
  </si>
  <si>
    <t>Gain (e/DN)</t>
  </si>
  <si>
    <t>Dark Current (e/pixel*s)</t>
  </si>
  <si>
    <t>Dark Charge (e/pixel)</t>
  </si>
  <si>
    <t>Mean Dark Current</t>
  </si>
  <si>
    <t>(all)</t>
  </si>
  <si>
    <t>Mean of those charges</t>
  </si>
  <si>
    <t>stddev</t>
  </si>
  <si>
    <t xml:space="preserve">mDN*Gain / exp time </t>
  </si>
  <si>
    <t>mDN*Gain</t>
  </si>
  <si>
    <t>T (K)</t>
  </si>
  <si>
    <t>charge</t>
  </si>
  <si>
    <t>current</t>
  </si>
  <si>
    <t>temp shit</t>
  </si>
  <si>
    <t>exp(-1/T)</t>
  </si>
  <si>
    <t>Temperature (K)</t>
  </si>
  <si>
    <r>
      <t>Temp (</t>
    </r>
    <r>
      <rPr>
        <sz val="11"/>
        <color theme="1"/>
        <rFont val="Calibri"/>
        <family val="2"/>
      </rPr>
      <t>°</t>
    </r>
    <r>
      <rPr>
        <sz val="8.8000000000000007"/>
        <color theme="1"/>
        <rFont val="Calibri"/>
        <family val="2"/>
      </rPr>
      <t>C)</t>
    </r>
  </si>
  <si>
    <t>ln(charge)</t>
  </si>
  <si>
    <t>ln(current)</t>
  </si>
  <si>
    <t>1000/T</t>
  </si>
</sst>
</file>

<file path=xl/styles.xml><?xml version="1.0" encoding="utf-8"?>
<styleSheet xmlns="http://schemas.openxmlformats.org/spreadsheetml/2006/main">
  <numFmts count="5">
    <numFmt numFmtId="164" formatCode="0.00000"/>
    <numFmt numFmtId="165" formatCode="#,##0.00000"/>
    <numFmt numFmtId="166" formatCode="#,##0.000"/>
    <numFmt numFmtId="167" formatCode="0.0"/>
    <numFmt numFmtId="169" formatCode="0.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8.8000000000000007"/>
      <color theme="1"/>
      <name val="Calibri"/>
      <family val="2"/>
    </font>
    <font>
      <sz val="11"/>
      <color theme="1"/>
      <name val="Calibri"/>
      <family val="2"/>
    </font>
    <font>
      <sz val="8.8000000000000007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4" fontId="0" fillId="0" borderId="0" xfId="0" applyNumberFormat="1"/>
    <xf numFmtId="2" fontId="0" fillId="0" borderId="0" xfId="0" applyNumberFormat="1"/>
    <xf numFmtId="167" fontId="0" fillId="0" borderId="0" xfId="0" applyNumberFormat="1"/>
    <xf numFmtId="169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Dark Charge vs. Cooler Temperature (K)</a:t>
            </a:r>
            <a:endParaRPr lang="en-US" baseline="30000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xVal>
            <c:numRef>
              <c:f>Sheet1!$Z$1:$Z$30</c:f>
              <c:numCache>
                <c:formatCode>General</c:formatCode>
                <c:ptCount val="30"/>
                <c:pt idx="0">
                  <c:v>291.64999999999998</c:v>
                </c:pt>
                <c:pt idx="1">
                  <c:v>289.25</c:v>
                </c:pt>
                <c:pt idx="2">
                  <c:v>286.95</c:v>
                </c:pt>
                <c:pt idx="3">
                  <c:v>284.64999999999998</c:v>
                </c:pt>
                <c:pt idx="4">
                  <c:v>281.95</c:v>
                </c:pt>
                <c:pt idx="5">
                  <c:v>279.45</c:v>
                </c:pt>
                <c:pt idx="6">
                  <c:v>276.75</c:v>
                </c:pt>
                <c:pt idx="7">
                  <c:v>274.14999999999998</c:v>
                </c:pt>
                <c:pt idx="8">
                  <c:v>271.54999999999995</c:v>
                </c:pt>
                <c:pt idx="9">
                  <c:v>267.54999999999995</c:v>
                </c:pt>
                <c:pt idx="10">
                  <c:v>265.14999999999998</c:v>
                </c:pt>
                <c:pt idx="11">
                  <c:v>261.64999999999998</c:v>
                </c:pt>
                <c:pt idx="12">
                  <c:v>260.04999999999995</c:v>
                </c:pt>
                <c:pt idx="13">
                  <c:v>257.14999999999998</c:v>
                </c:pt>
                <c:pt idx="14">
                  <c:v>254.84999999999997</c:v>
                </c:pt>
                <c:pt idx="15">
                  <c:v>252.24999999999997</c:v>
                </c:pt>
                <c:pt idx="16">
                  <c:v>250.84999999999997</c:v>
                </c:pt>
                <c:pt idx="17">
                  <c:v>248.84999999999997</c:v>
                </c:pt>
                <c:pt idx="18">
                  <c:v>247.04999999999998</c:v>
                </c:pt>
                <c:pt idx="19">
                  <c:v>245.64999999999998</c:v>
                </c:pt>
                <c:pt idx="20">
                  <c:v>244.45</c:v>
                </c:pt>
                <c:pt idx="21">
                  <c:v>243.34999999999997</c:v>
                </c:pt>
                <c:pt idx="22">
                  <c:v>273.14999999999998</c:v>
                </c:pt>
                <c:pt idx="23">
                  <c:v>273.14999999999998</c:v>
                </c:pt>
                <c:pt idx="24">
                  <c:v>273.14999999999998</c:v>
                </c:pt>
                <c:pt idx="25">
                  <c:v>273.14999999999998</c:v>
                </c:pt>
                <c:pt idx="26">
                  <c:v>243.14999999999998</c:v>
                </c:pt>
                <c:pt idx="27">
                  <c:v>243.24999999999997</c:v>
                </c:pt>
                <c:pt idx="28">
                  <c:v>243.04999999999998</c:v>
                </c:pt>
                <c:pt idx="29">
                  <c:v>243.04999999999998</c:v>
                </c:pt>
              </c:numCache>
            </c:numRef>
          </c:xVal>
          <c:yVal>
            <c:numRef>
              <c:f>Sheet1!$W$1:$W$30</c:f>
              <c:numCache>
                <c:formatCode>General</c:formatCode>
                <c:ptCount val="30"/>
                <c:pt idx="0">
                  <c:v>2590.5310359999999</c:v>
                </c:pt>
                <c:pt idx="1">
                  <c:v>2121.9875239999997</c:v>
                </c:pt>
                <c:pt idx="2">
                  <c:v>1757.0381699999998</c:v>
                </c:pt>
                <c:pt idx="3">
                  <c:v>1482.81834</c:v>
                </c:pt>
                <c:pt idx="4">
                  <c:v>1285.7863139999999</c:v>
                </c:pt>
                <c:pt idx="5">
                  <c:v>1148.3378559999999</c:v>
                </c:pt>
                <c:pt idx="6">
                  <c:v>1054.222902</c:v>
                </c:pt>
                <c:pt idx="7">
                  <c:v>990.576818</c:v>
                </c:pt>
                <c:pt idx="8">
                  <c:v>947.24331399999994</c:v>
                </c:pt>
                <c:pt idx="9">
                  <c:v>918.12861599999997</c:v>
                </c:pt>
                <c:pt idx="10">
                  <c:v>898.49312199999997</c:v>
                </c:pt>
                <c:pt idx="11">
                  <c:v>884.95140199999992</c:v>
                </c:pt>
                <c:pt idx="12">
                  <c:v>875.47219799999993</c:v>
                </c:pt>
                <c:pt idx="13">
                  <c:v>869.378424</c:v>
                </c:pt>
                <c:pt idx="14">
                  <c:v>864.638822</c:v>
                </c:pt>
                <c:pt idx="15">
                  <c:v>861.25339199999996</c:v>
                </c:pt>
                <c:pt idx="16">
                  <c:v>859.22213399999998</c:v>
                </c:pt>
                <c:pt idx="17">
                  <c:v>857.86796199999992</c:v>
                </c:pt>
                <c:pt idx="18">
                  <c:v>856.51378999999997</c:v>
                </c:pt>
                <c:pt idx="19">
                  <c:v>855.83670399999994</c:v>
                </c:pt>
                <c:pt idx="20">
                  <c:v>855.15961799999991</c:v>
                </c:pt>
                <c:pt idx="21">
                  <c:v>854.48253199999999</c:v>
                </c:pt>
                <c:pt idx="26">
                  <c:v>853.12835999999993</c:v>
                </c:pt>
                <c:pt idx="27">
                  <c:v>853.80544599999996</c:v>
                </c:pt>
                <c:pt idx="28">
                  <c:v>853.80544599999996</c:v>
                </c:pt>
                <c:pt idx="29">
                  <c:v>853.80544599999996</c:v>
                </c:pt>
              </c:numCache>
            </c:numRef>
          </c:yVal>
        </c:ser>
        <c:axId val="81020800"/>
        <c:axId val="82807808"/>
      </c:scatterChart>
      <c:valAx>
        <c:axId val="81020800"/>
        <c:scaling>
          <c:orientation val="minMax"/>
          <c:max val="295"/>
          <c:min val="240"/>
        </c:scaling>
        <c:axPos val="b"/>
        <c:title>
          <c:tx>
            <c:rich>
              <a:bodyPr/>
              <a:lstStyle/>
              <a:p>
                <a:pPr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/>
                  <a:t>T (K)</a:t>
                </a:r>
                <a:endParaRPr lang="en-US" sz="1000"/>
              </a:p>
            </c:rich>
          </c:tx>
          <c:layout/>
        </c:title>
        <c:numFmt formatCode="General" sourceLinked="1"/>
        <c:tickLblPos val="nextTo"/>
        <c:crossAx val="82807808"/>
        <c:crosses val="autoZero"/>
        <c:crossBetween val="midCat"/>
      </c:valAx>
      <c:valAx>
        <c:axId val="82807808"/>
        <c:scaling>
          <c:orientation val="minMax"/>
          <c:min val="5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Dark Charge</a:t>
                </a:r>
                <a:r>
                  <a:rPr lang="en-US" baseline="0"/>
                  <a:t> (e-/pixel)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81020800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Dark Charge vs. </a:t>
            </a:r>
            <a:r>
              <a:rPr lang="en-US" sz="1800" b="1" i="0" baseline="0"/>
              <a:t>e</a:t>
            </a:r>
            <a:r>
              <a:rPr lang="en-US" sz="1800" b="1" i="0" baseline="30000"/>
              <a:t>-1/T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xVal>
            <c:numRef>
              <c:f>Sheet1!$V$1:$V$30</c:f>
              <c:numCache>
                <c:formatCode>General</c:formatCode>
                <c:ptCount val="30"/>
                <c:pt idx="0">
                  <c:v>0.99657710415206546</c:v>
                </c:pt>
                <c:pt idx="1">
                  <c:v>0.99654875235309448</c:v>
                </c:pt>
                <c:pt idx="2">
                  <c:v>0.99652113762497285</c:v>
                </c:pt>
                <c:pt idx="3">
                  <c:v>0.99649307742127502</c:v>
                </c:pt>
                <c:pt idx="4">
                  <c:v>0.99645955406768061</c:v>
                </c:pt>
                <c:pt idx="5">
                  <c:v>0.99642793736455093</c:v>
                </c:pt>
                <c:pt idx="6">
                  <c:v>0.9963931508965661</c:v>
                </c:pt>
                <c:pt idx="7">
                  <c:v>0.9963590063963299</c:v>
                </c:pt>
                <c:pt idx="8">
                  <c:v>0.99632420925575205</c:v>
                </c:pt>
                <c:pt idx="9">
                  <c:v>0.99626935706762398</c:v>
                </c:pt>
                <c:pt idx="10">
                  <c:v>0.99623565286311688</c:v>
                </c:pt>
                <c:pt idx="11">
                  <c:v>0.99618539467831224</c:v>
                </c:pt>
                <c:pt idx="12">
                  <c:v>0.9961619697942854</c:v>
                </c:pt>
                <c:pt idx="13">
                  <c:v>0.99611877064921617</c:v>
                </c:pt>
                <c:pt idx="14">
                  <c:v>0.99608381155493664</c:v>
                </c:pt>
                <c:pt idx="15">
                  <c:v>0.99604352643743077</c:v>
                </c:pt>
                <c:pt idx="16">
                  <c:v>0.99602148924478295</c:v>
                </c:pt>
                <c:pt idx="17">
                  <c:v>0.99598957827545465</c:v>
                </c:pt>
                <c:pt idx="18">
                  <c:v>0.99596041754233844</c:v>
                </c:pt>
                <c:pt idx="19">
                  <c:v>0.99593744212133117</c:v>
                </c:pt>
                <c:pt idx="20">
                  <c:v>0.99591753987228315</c:v>
                </c:pt>
                <c:pt idx="21">
                  <c:v>0.9958991240693581</c:v>
                </c:pt>
                <c:pt idx="22">
                  <c:v>0.99634570113233345</c:v>
                </c:pt>
                <c:pt idx="23">
                  <c:v>0.99634570113233345</c:v>
                </c:pt>
                <c:pt idx="24">
                  <c:v>0.99634570113233345</c:v>
                </c:pt>
                <c:pt idx="25">
                  <c:v>0.99634570113233345</c:v>
                </c:pt>
                <c:pt idx="26">
                  <c:v>0.99589575787655149</c:v>
                </c:pt>
                <c:pt idx="27">
                  <c:v>0.99589744166345295</c:v>
                </c:pt>
                <c:pt idx="28">
                  <c:v>0.99589407270695252</c:v>
                </c:pt>
                <c:pt idx="29">
                  <c:v>0.99589407270695252</c:v>
                </c:pt>
              </c:numCache>
            </c:numRef>
          </c:xVal>
          <c:yVal>
            <c:numRef>
              <c:f>Sheet1!$W$1:$W$30</c:f>
              <c:numCache>
                <c:formatCode>General</c:formatCode>
                <c:ptCount val="30"/>
                <c:pt idx="0">
                  <c:v>2590.5310359999999</c:v>
                </c:pt>
                <c:pt idx="1">
                  <c:v>2121.9875239999997</c:v>
                </c:pt>
                <c:pt idx="2">
                  <c:v>1757.0381699999998</c:v>
                </c:pt>
                <c:pt idx="3">
                  <c:v>1482.81834</c:v>
                </c:pt>
                <c:pt idx="4">
                  <c:v>1285.7863139999999</c:v>
                </c:pt>
                <c:pt idx="5">
                  <c:v>1148.3378559999999</c:v>
                </c:pt>
                <c:pt idx="6">
                  <c:v>1054.222902</c:v>
                </c:pt>
                <c:pt idx="7">
                  <c:v>990.576818</c:v>
                </c:pt>
                <c:pt idx="8">
                  <c:v>947.24331399999994</c:v>
                </c:pt>
                <c:pt idx="9">
                  <c:v>918.12861599999997</c:v>
                </c:pt>
                <c:pt idx="10">
                  <c:v>898.49312199999997</c:v>
                </c:pt>
                <c:pt idx="11">
                  <c:v>884.95140199999992</c:v>
                </c:pt>
                <c:pt idx="12">
                  <c:v>875.47219799999993</c:v>
                </c:pt>
                <c:pt idx="13">
                  <c:v>869.378424</c:v>
                </c:pt>
                <c:pt idx="14">
                  <c:v>864.638822</c:v>
                </c:pt>
                <c:pt idx="15">
                  <c:v>861.25339199999996</c:v>
                </c:pt>
                <c:pt idx="16">
                  <c:v>859.22213399999998</c:v>
                </c:pt>
                <c:pt idx="17">
                  <c:v>857.86796199999992</c:v>
                </c:pt>
                <c:pt idx="18">
                  <c:v>856.51378999999997</c:v>
                </c:pt>
                <c:pt idx="19">
                  <c:v>855.83670399999994</c:v>
                </c:pt>
                <c:pt idx="20">
                  <c:v>855.15961799999991</c:v>
                </c:pt>
                <c:pt idx="21">
                  <c:v>854.48253199999999</c:v>
                </c:pt>
                <c:pt idx="26">
                  <c:v>853.12835999999993</c:v>
                </c:pt>
                <c:pt idx="27">
                  <c:v>853.80544599999996</c:v>
                </c:pt>
                <c:pt idx="28">
                  <c:v>853.80544599999996</c:v>
                </c:pt>
                <c:pt idx="29">
                  <c:v>853.80544599999996</c:v>
                </c:pt>
              </c:numCache>
            </c:numRef>
          </c:yVal>
        </c:ser>
        <c:axId val="85321984"/>
        <c:axId val="85855616"/>
      </c:scatterChart>
      <c:valAx>
        <c:axId val="85321984"/>
        <c:scaling>
          <c:orientation val="minMax"/>
        </c:scaling>
        <c:axPos val="b"/>
        <c:title>
          <c:tx>
            <c:rich>
              <a:bodyPr/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/>
                  <a:t>e</a:t>
                </a:r>
                <a:r>
                  <a:rPr lang="en-US" sz="1800" b="1" i="0" baseline="30000"/>
                  <a:t>-1/T</a:t>
                </a:r>
              </a:p>
            </c:rich>
          </c:tx>
          <c:layout/>
        </c:title>
        <c:numFmt formatCode="General" sourceLinked="1"/>
        <c:tickLblPos val="nextTo"/>
        <c:crossAx val="85855616"/>
        <c:crosses val="autoZero"/>
        <c:crossBetween val="midCat"/>
      </c:valAx>
      <c:valAx>
        <c:axId val="858556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Dark Charge (e-/pixel)</a:t>
                </a:r>
              </a:p>
            </c:rich>
          </c:tx>
          <c:layout/>
        </c:title>
        <c:numFmt formatCode="General" sourceLinked="1"/>
        <c:tickLblPos val="nextTo"/>
        <c:crossAx val="85321984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Dark Charge vs e</a:t>
            </a:r>
            <a:r>
              <a:rPr lang="en-US" sz="1800" b="1" i="0" baseline="30000"/>
              <a:t>-1/T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xVal>
            <c:numRef>
              <c:f>Sheet1!$J$66:$J$89</c:f>
              <c:numCache>
                <c:formatCode>#,##0.00000</c:formatCode>
                <c:ptCount val="24"/>
                <c:pt idx="0">
                  <c:v>0.99657710415206546</c:v>
                </c:pt>
                <c:pt idx="1">
                  <c:v>0.99654875235309448</c:v>
                </c:pt>
                <c:pt idx="2">
                  <c:v>0.99652113762497285</c:v>
                </c:pt>
                <c:pt idx="3">
                  <c:v>0.99649307742127502</c:v>
                </c:pt>
                <c:pt idx="4">
                  <c:v>0.99645955406768061</c:v>
                </c:pt>
                <c:pt idx="5">
                  <c:v>0.99642793736455093</c:v>
                </c:pt>
                <c:pt idx="6">
                  <c:v>0.9963931508965661</c:v>
                </c:pt>
                <c:pt idx="7">
                  <c:v>0.9963590063963299</c:v>
                </c:pt>
                <c:pt idx="8">
                  <c:v>0.99632420925575205</c:v>
                </c:pt>
                <c:pt idx="9">
                  <c:v>0.99626935706762398</c:v>
                </c:pt>
                <c:pt idx="10">
                  <c:v>0.99623565286311688</c:v>
                </c:pt>
                <c:pt idx="11">
                  <c:v>0.99618539467831224</c:v>
                </c:pt>
                <c:pt idx="12">
                  <c:v>0.9961619697942854</c:v>
                </c:pt>
                <c:pt idx="13">
                  <c:v>0.99611877064921617</c:v>
                </c:pt>
                <c:pt idx="14">
                  <c:v>0.99608381155493664</c:v>
                </c:pt>
                <c:pt idx="15">
                  <c:v>0.99604352643743077</c:v>
                </c:pt>
                <c:pt idx="16">
                  <c:v>0.99602148924478295</c:v>
                </c:pt>
                <c:pt idx="17">
                  <c:v>0.99598957827545465</c:v>
                </c:pt>
                <c:pt idx="18">
                  <c:v>0.99596041754233844</c:v>
                </c:pt>
                <c:pt idx="19">
                  <c:v>0.99593744212133117</c:v>
                </c:pt>
                <c:pt idx="20">
                  <c:v>0.99591753987228315</c:v>
                </c:pt>
                <c:pt idx="21">
                  <c:v>0.9958991240693581</c:v>
                </c:pt>
                <c:pt idx="22">
                  <c:v>0.99589744166345295</c:v>
                </c:pt>
                <c:pt idx="23">
                  <c:v>0.99589575787655149</c:v>
                </c:pt>
              </c:numCache>
            </c:numRef>
          </c:xVal>
          <c:yVal>
            <c:numRef>
              <c:f>Sheet1!$E$66:$E$89</c:f>
              <c:numCache>
                <c:formatCode>0.0</c:formatCode>
                <c:ptCount val="24"/>
                <c:pt idx="0">
                  <c:v>2590.5310359999999</c:v>
                </c:pt>
                <c:pt idx="1">
                  <c:v>2121.9875239999997</c:v>
                </c:pt>
                <c:pt idx="2">
                  <c:v>1757.0381699999998</c:v>
                </c:pt>
                <c:pt idx="3">
                  <c:v>1482.81834</c:v>
                </c:pt>
                <c:pt idx="4">
                  <c:v>1285.7863139999999</c:v>
                </c:pt>
                <c:pt idx="5">
                  <c:v>1148.3378559999999</c:v>
                </c:pt>
                <c:pt idx="6">
                  <c:v>1054.222902</c:v>
                </c:pt>
                <c:pt idx="7" formatCode="0.00">
                  <c:v>990.576818</c:v>
                </c:pt>
                <c:pt idx="8" formatCode="0.00">
                  <c:v>947.24331399999994</c:v>
                </c:pt>
                <c:pt idx="9" formatCode="0.00">
                  <c:v>918.12861599999997</c:v>
                </c:pt>
                <c:pt idx="10" formatCode="0.00">
                  <c:v>898.49312199999997</c:v>
                </c:pt>
                <c:pt idx="11" formatCode="0.00">
                  <c:v>884.95140199999992</c:v>
                </c:pt>
                <c:pt idx="12" formatCode="0.00">
                  <c:v>875.47219799999993</c:v>
                </c:pt>
                <c:pt idx="13" formatCode="0.00">
                  <c:v>869.378424</c:v>
                </c:pt>
                <c:pt idx="14" formatCode="0.00">
                  <c:v>864.638822</c:v>
                </c:pt>
                <c:pt idx="15" formatCode="0.00">
                  <c:v>861.25339199999996</c:v>
                </c:pt>
                <c:pt idx="16" formatCode="0.00">
                  <c:v>859.22213399999998</c:v>
                </c:pt>
                <c:pt idx="17" formatCode="0.00">
                  <c:v>857.86796199999992</c:v>
                </c:pt>
                <c:pt idx="18" formatCode="0.00">
                  <c:v>856.51378999999997</c:v>
                </c:pt>
                <c:pt idx="19" formatCode="0.00">
                  <c:v>855.83670399999994</c:v>
                </c:pt>
                <c:pt idx="20" formatCode="0.00">
                  <c:v>855.15961799999991</c:v>
                </c:pt>
                <c:pt idx="21" formatCode="0.00">
                  <c:v>854.48253199999999</c:v>
                </c:pt>
                <c:pt idx="22" formatCode="0.00">
                  <c:v>853.80544599999996</c:v>
                </c:pt>
                <c:pt idx="23" formatCode="0.00">
                  <c:v>853.12835999999993</c:v>
                </c:pt>
              </c:numCache>
            </c:numRef>
          </c:yVal>
        </c:ser>
        <c:axId val="100264192"/>
        <c:axId val="100270464"/>
      </c:scatterChart>
      <c:valAx>
        <c:axId val="100264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/>
                  <a:t>e</a:t>
                </a:r>
                <a:r>
                  <a:rPr lang="en-US" sz="1800" b="1" i="0" baseline="30000"/>
                  <a:t>-1/T</a:t>
                </a:r>
                <a:endParaRPr lang="en-US" sz="1800" b="1" i="0" baseline="0"/>
              </a:p>
            </c:rich>
          </c:tx>
          <c:layout/>
        </c:title>
        <c:numFmt formatCode="#,##0.00000" sourceLinked="1"/>
        <c:tickLblPos val="nextTo"/>
        <c:crossAx val="100270464"/>
        <c:crosses val="autoZero"/>
        <c:crossBetween val="midCat"/>
      </c:valAx>
      <c:valAx>
        <c:axId val="1002704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Dark Charge (e-/pixel)</a:t>
                </a:r>
              </a:p>
            </c:rich>
          </c:tx>
          <c:layout/>
        </c:title>
        <c:numFmt formatCode="0.0" sourceLinked="1"/>
        <c:tickLblPos val="nextTo"/>
        <c:crossAx val="10026419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Dark Current vs e</a:t>
            </a:r>
            <a:r>
              <a:rPr lang="en-US" sz="1800" b="1" i="0" baseline="30000"/>
              <a:t>-1/T</a:t>
            </a:r>
            <a:endParaRPr lang="en-US" sz="1800" b="1" i="0" baseline="0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xVal>
            <c:numRef>
              <c:f>Sheet1!$J$66:$J$89</c:f>
              <c:numCache>
                <c:formatCode>#,##0.00000</c:formatCode>
                <c:ptCount val="24"/>
                <c:pt idx="0">
                  <c:v>0.99657710415206546</c:v>
                </c:pt>
                <c:pt idx="1">
                  <c:v>0.99654875235309448</c:v>
                </c:pt>
                <c:pt idx="2">
                  <c:v>0.99652113762497285</c:v>
                </c:pt>
                <c:pt idx="3">
                  <c:v>0.99649307742127502</c:v>
                </c:pt>
                <c:pt idx="4">
                  <c:v>0.99645955406768061</c:v>
                </c:pt>
                <c:pt idx="5">
                  <c:v>0.99642793736455093</c:v>
                </c:pt>
                <c:pt idx="6">
                  <c:v>0.9963931508965661</c:v>
                </c:pt>
                <c:pt idx="7">
                  <c:v>0.9963590063963299</c:v>
                </c:pt>
                <c:pt idx="8">
                  <c:v>0.99632420925575205</c:v>
                </c:pt>
                <c:pt idx="9">
                  <c:v>0.99626935706762398</c:v>
                </c:pt>
                <c:pt idx="10">
                  <c:v>0.99623565286311688</c:v>
                </c:pt>
                <c:pt idx="11">
                  <c:v>0.99618539467831224</c:v>
                </c:pt>
                <c:pt idx="12">
                  <c:v>0.9961619697942854</c:v>
                </c:pt>
                <c:pt idx="13">
                  <c:v>0.99611877064921617</c:v>
                </c:pt>
                <c:pt idx="14">
                  <c:v>0.99608381155493664</c:v>
                </c:pt>
                <c:pt idx="15">
                  <c:v>0.99604352643743077</c:v>
                </c:pt>
                <c:pt idx="16">
                  <c:v>0.99602148924478295</c:v>
                </c:pt>
                <c:pt idx="17">
                  <c:v>0.99598957827545465</c:v>
                </c:pt>
                <c:pt idx="18">
                  <c:v>0.99596041754233844</c:v>
                </c:pt>
                <c:pt idx="19">
                  <c:v>0.99593744212133117</c:v>
                </c:pt>
                <c:pt idx="20">
                  <c:v>0.99591753987228315</c:v>
                </c:pt>
                <c:pt idx="21">
                  <c:v>0.9958991240693581</c:v>
                </c:pt>
                <c:pt idx="22">
                  <c:v>0.99589744166345295</c:v>
                </c:pt>
                <c:pt idx="23">
                  <c:v>0.99589575787655149</c:v>
                </c:pt>
              </c:numCache>
            </c:numRef>
          </c:xVal>
          <c:yVal>
            <c:numRef>
              <c:f>Sheet1!$F$66:$F$89</c:f>
              <c:numCache>
                <c:formatCode>#,##0.00</c:formatCode>
                <c:ptCount val="24"/>
                <c:pt idx="0">
                  <c:v>129.52655179999999</c:v>
                </c:pt>
                <c:pt idx="1">
                  <c:v>106.09937619999998</c:v>
                </c:pt>
                <c:pt idx="2" formatCode="#,##0.000">
                  <c:v>87.851908499999993</c:v>
                </c:pt>
                <c:pt idx="3" formatCode="#,##0.000">
                  <c:v>74.140917000000002</c:v>
                </c:pt>
                <c:pt idx="4" formatCode="#,##0.000">
                  <c:v>64.289315700000003</c:v>
                </c:pt>
                <c:pt idx="5" formatCode="#,##0.000">
                  <c:v>57.416892799999992</c:v>
                </c:pt>
                <c:pt idx="6" formatCode="#,##0.000">
                  <c:v>52.711145099999996</c:v>
                </c:pt>
                <c:pt idx="7" formatCode="#,##0.000">
                  <c:v>49.528840899999999</c:v>
                </c:pt>
                <c:pt idx="8" formatCode="#,##0.000">
                  <c:v>47.362165699999998</c:v>
                </c:pt>
                <c:pt idx="9" formatCode="#,##0.000">
                  <c:v>45.906430799999995</c:v>
                </c:pt>
                <c:pt idx="10" formatCode="#,##0.000">
                  <c:v>44.9246561</c:v>
                </c:pt>
                <c:pt idx="11" formatCode="#,##0.000">
                  <c:v>44.247570099999997</c:v>
                </c:pt>
                <c:pt idx="12" formatCode="#,##0.000">
                  <c:v>43.773609899999997</c:v>
                </c:pt>
                <c:pt idx="13" formatCode="#,##0.000">
                  <c:v>43.468921199999997</c:v>
                </c:pt>
                <c:pt idx="14" formatCode="#,##0.000">
                  <c:v>43.2319411</c:v>
                </c:pt>
                <c:pt idx="15" formatCode="#,##0.000">
                  <c:v>43.0626696</c:v>
                </c:pt>
                <c:pt idx="16" formatCode="#,##0.000">
                  <c:v>42.961106700000002</c:v>
                </c:pt>
                <c:pt idx="17" formatCode="#,##0.000">
                  <c:v>42.893398099999999</c:v>
                </c:pt>
                <c:pt idx="18" formatCode="#,##0.000">
                  <c:v>42.825689499999996</c:v>
                </c:pt>
                <c:pt idx="19" formatCode="#,##0.000">
                  <c:v>42.791835199999994</c:v>
                </c:pt>
                <c:pt idx="20" formatCode="#,##0.000">
                  <c:v>42.757980899999993</c:v>
                </c:pt>
                <c:pt idx="21" formatCode="#,##0.000">
                  <c:v>42.724126599999998</c:v>
                </c:pt>
                <c:pt idx="22" formatCode="#,##0.000">
                  <c:v>42.690272299999997</c:v>
                </c:pt>
                <c:pt idx="23" formatCode="#,##0.000">
                  <c:v>42.656417999999995</c:v>
                </c:pt>
              </c:numCache>
            </c:numRef>
          </c:yVal>
        </c:ser>
        <c:axId val="105583744"/>
        <c:axId val="105585664"/>
      </c:scatterChart>
      <c:valAx>
        <c:axId val="105583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/>
                  <a:t>e</a:t>
                </a:r>
                <a:r>
                  <a:rPr lang="en-US" sz="1800" b="1" i="0" baseline="30000"/>
                  <a:t>-1/T</a:t>
                </a:r>
                <a:endParaRPr lang="en-US" sz="1800" b="1" i="0" baseline="0"/>
              </a:p>
            </c:rich>
          </c:tx>
          <c:layout/>
        </c:title>
        <c:numFmt formatCode="#,##0.00000" sourceLinked="1"/>
        <c:tickLblPos val="nextTo"/>
        <c:crossAx val="105585664"/>
        <c:crosses val="autoZero"/>
        <c:crossBetween val="midCat"/>
      </c:valAx>
      <c:valAx>
        <c:axId val="1055856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Dark Current (e-/pixel*second)</a:t>
                </a:r>
              </a:p>
            </c:rich>
          </c:tx>
          <c:layout/>
        </c:title>
        <c:numFmt formatCode="#,##0.00" sourceLinked="1"/>
        <c:tickLblPos val="nextTo"/>
        <c:crossAx val="105583744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Dark Charge vs. Exposure Time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spPr>
              <a:ln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  <a:prstDash val="lgDash"/>
              </a:ln>
            </c:spPr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Sheet1!$J$9:$J$14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30</c:v>
                </c:pt>
                <c:pt idx="4">
                  <c:v>90</c:v>
                </c:pt>
                <c:pt idx="5">
                  <c:v>300</c:v>
                </c:pt>
              </c:numCache>
            </c:numRef>
          </c:xVal>
          <c:yVal>
            <c:numRef>
              <c:f>Sheet1!$K$9:$K$14</c:f>
              <c:numCache>
                <c:formatCode>0.0</c:formatCode>
                <c:ptCount val="6"/>
                <c:pt idx="0">
                  <c:v>1265.4737339999999</c:v>
                </c:pt>
                <c:pt idx="1">
                  <c:v>1285.7863139999999</c:v>
                </c:pt>
                <c:pt idx="2">
                  <c:v>1328.442732</c:v>
                </c:pt>
                <c:pt idx="3">
                  <c:v>1469.2766199999999</c:v>
                </c:pt>
                <c:pt idx="4">
                  <c:v>1936.46596</c:v>
                </c:pt>
                <c:pt idx="5">
                  <c:v>3268.9712079999999</c:v>
                </c:pt>
              </c:numCache>
            </c:numRef>
          </c:yVal>
        </c:ser>
        <c:axId val="105552896"/>
        <c:axId val="105551360"/>
      </c:scatterChart>
      <c:valAx>
        <c:axId val="105552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Exposure Time (s)</a:t>
                </a:r>
              </a:p>
            </c:rich>
          </c:tx>
          <c:layout/>
        </c:title>
        <c:numFmt formatCode="General" sourceLinked="1"/>
        <c:tickLblPos val="nextTo"/>
        <c:crossAx val="105551360"/>
        <c:crosses val="autoZero"/>
        <c:crossBetween val="midCat"/>
      </c:valAx>
      <c:valAx>
        <c:axId val="105551360"/>
        <c:scaling>
          <c:orientation val="minMax"/>
          <c:max val="3500"/>
          <c:min val="1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Dark Charge (e-/pixel)</a:t>
                </a:r>
              </a:p>
            </c:rich>
          </c:tx>
          <c:layout/>
        </c:title>
        <c:numFmt formatCode="0.0" sourceLinked="1"/>
        <c:tickLblPos val="nextTo"/>
        <c:crossAx val="10555289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/>
              <a:t>ln(Dark Charge) vs 1000/T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spPr>
              <a:ln cmpd="sng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  <a:prstDash val="lgDash"/>
              </a:ln>
            </c:spPr>
            <c:trendlineType val="linear"/>
          </c:trendline>
          <c:xVal>
            <c:numRef>
              <c:f>Sheet1!$AG$1:$AG$30</c:f>
              <c:numCache>
                <c:formatCode>General</c:formatCode>
                <c:ptCount val="30"/>
                <c:pt idx="0">
                  <c:v>0.34920090171662538</c:v>
                </c:pt>
                <c:pt idx="1">
                  <c:v>0.41751256033513678</c:v>
                </c:pt>
                <c:pt idx="2">
                  <c:v>0.49256517931537352</c:v>
                </c:pt>
                <c:pt idx="3">
                  <c:v>0.56948634962290956</c:v>
                </c:pt>
                <c:pt idx="4">
                  <c:v>0.64146302258759236</c:v>
                </c:pt>
                <c:pt idx="5">
                  <c:v>0.70348824703571733</c:v>
                </c:pt>
                <c:pt idx="6">
                  <c:v>0.75336779777051677</c:v>
                </c:pt>
                <c:pt idx="7">
                  <c:v>0.79131026243679825</c:v>
                </c:pt>
                <c:pt idx="8">
                  <c:v>0.81940796342317557</c:v>
                </c:pt>
                <c:pt idx="9">
                  <c:v>0.83943418992757268</c:v>
                </c:pt>
                <c:pt idx="10">
                  <c:v>0.85350221515660474</c:v>
                </c:pt>
                <c:pt idx="11">
                  <c:v>0.86348224626361358</c:v>
                </c:pt>
                <c:pt idx="12">
                  <c:v>0.87060828333390783</c:v>
                </c:pt>
                <c:pt idx="13">
                  <c:v>0.87525174778496362</c:v>
                </c:pt>
                <c:pt idx="14">
                  <c:v>0.87889771868403888</c:v>
                </c:pt>
                <c:pt idx="15">
                  <c:v>0.88152063635578415</c:v>
                </c:pt>
                <c:pt idx="16">
                  <c:v>0.88310191497524082</c:v>
                </c:pt>
                <c:pt idx="17">
                  <c:v>0.88415925617280344</c:v>
                </c:pt>
                <c:pt idx="18">
                  <c:v>0.88521913232254701</c:v>
                </c:pt>
                <c:pt idx="19">
                  <c:v>0.88575002385501966</c:v>
                </c:pt>
                <c:pt idx="20">
                  <c:v>0.88628155255165098</c:v>
                </c:pt>
                <c:pt idx="21">
                  <c:v>0.88681371956019439</c:v>
                </c:pt>
                <c:pt idx="26">
                  <c:v>0.88787997311783584</c:v>
                </c:pt>
                <c:pt idx="27">
                  <c:v>0.88734652603116315</c:v>
                </c:pt>
                <c:pt idx="28">
                  <c:v>0.88734652603116315</c:v>
                </c:pt>
                <c:pt idx="29">
                  <c:v>0.88734652603116315</c:v>
                </c:pt>
              </c:numCache>
            </c:numRef>
          </c:xVal>
          <c:yVal>
            <c:numRef>
              <c:f>Sheet1!$AH$1:$AH$30</c:f>
              <c:numCache>
                <c:formatCode>General</c:formatCode>
                <c:ptCount val="30"/>
                <c:pt idx="0">
                  <c:v>7.8596181668817815</c:v>
                </c:pt>
                <c:pt idx="1">
                  <c:v>7.6601084397975496</c:v>
                </c:pt>
                <c:pt idx="2">
                  <c:v>7.4713848124815723</c:v>
                </c:pt>
                <c:pt idx="3">
                  <c:v>7.3016998396921302</c:v>
                </c:pt>
                <c:pt idx="4">
                  <c:v>7.1591257276938691</c:v>
                </c:pt>
                <c:pt idx="5">
                  <c:v>7.0460708332334319</c:v>
                </c:pt>
                <c:pt idx="6">
                  <c:v>6.9605591887155818</c:v>
                </c:pt>
                <c:pt idx="7">
                  <c:v>6.8982874179017077</c:v>
                </c:pt>
                <c:pt idx="8">
                  <c:v>6.853555991547065</c:v>
                </c:pt>
                <c:pt idx="9">
                  <c:v>6.8223374853819241</c:v>
                </c:pt>
                <c:pt idx="10">
                  <c:v>6.8007190512137914</c:v>
                </c:pt>
                <c:pt idx="11">
                  <c:v>6.7855327305058051</c:v>
                </c:pt>
                <c:pt idx="12">
                  <c:v>6.7747633956534408</c:v>
                </c:pt>
                <c:pt idx="13">
                  <c:v>6.7677785011314899</c:v>
                </c:pt>
                <c:pt idx="14">
                  <c:v>6.7623118729141227</c:v>
                </c:pt>
                <c:pt idx="15">
                  <c:v>6.7583887607816511</c:v>
                </c:pt>
                <c:pt idx="16">
                  <c:v>6.7560274845959709</c:v>
                </c:pt>
                <c:pt idx="17">
                  <c:v>6.7544501972027229</c:v>
                </c:pt>
                <c:pt idx="18">
                  <c:v>6.7528704180432042</c:v>
                </c:pt>
                <c:pt idx="19">
                  <c:v>6.7520795915883864</c:v>
                </c:pt>
                <c:pt idx="20">
                  <c:v>6.7512881392320745</c:v>
                </c:pt>
                <c:pt idx="21">
                  <c:v>6.7504960599827424</c:v>
                </c:pt>
                <c:pt idx="26">
                  <c:v>6.7489100168271072</c:v>
                </c:pt>
                <c:pt idx="27">
                  <c:v>6.7497033528465034</c:v>
                </c:pt>
                <c:pt idx="28">
                  <c:v>6.7497033528465034</c:v>
                </c:pt>
                <c:pt idx="29">
                  <c:v>6.7497033528465034</c:v>
                </c:pt>
              </c:numCache>
            </c:numRef>
          </c:yVal>
        </c:ser>
        <c:axId val="113017600"/>
        <c:axId val="113013888"/>
      </c:scatterChart>
      <c:valAx>
        <c:axId val="113017600"/>
        <c:scaling>
          <c:orientation val="minMax"/>
          <c:max val="0.95000000000000007"/>
          <c:min val="0.30000000000000004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1000/T (K</a:t>
                </a:r>
                <a:r>
                  <a:rPr lang="en-US" baseline="30000"/>
                  <a:t>-1</a:t>
                </a:r>
                <a:r>
                  <a:rPr lang="en-US" baseline="0"/>
                  <a:t> )</a:t>
                </a:r>
                <a:endParaRPr lang="en-US" baseline="30000"/>
              </a:p>
            </c:rich>
          </c:tx>
          <c:layout/>
        </c:title>
        <c:numFmt formatCode="General" sourceLinked="1"/>
        <c:tickLblPos val="nextTo"/>
        <c:crossAx val="113013888"/>
        <c:crosses val="autoZero"/>
        <c:crossBetween val="midCat"/>
      </c:valAx>
      <c:valAx>
        <c:axId val="1130138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ln(Dark</a:t>
                </a:r>
                <a:r>
                  <a:rPr lang="en-US" baseline="0"/>
                  <a:t> Charge)</a:t>
                </a:r>
              </a:p>
            </c:rich>
          </c:tx>
          <c:layout/>
        </c:title>
        <c:numFmt formatCode="General" sourceLinked="1"/>
        <c:tickLblPos val="nextTo"/>
        <c:crossAx val="11301760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47625</xdr:colOff>
      <xdr:row>31</xdr:row>
      <xdr:rowOff>35719</xdr:rowOff>
    </xdr:from>
    <xdr:to>
      <xdr:col>32</xdr:col>
      <xdr:colOff>321468</xdr:colOff>
      <xdr:row>62</xdr:row>
      <xdr:rowOff>130969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523876</xdr:colOff>
      <xdr:row>31</xdr:row>
      <xdr:rowOff>35718</xdr:rowOff>
    </xdr:from>
    <xdr:to>
      <xdr:col>46</xdr:col>
      <xdr:colOff>500062</xdr:colOff>
      <xdr:row>62</xdr:row>
      <xdr:rowOff>142875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65</xdr:row>
      <xdr:rowOff>23813</xdr:rowOff>
    </xdr:from>
    <xdr:to>
      <xdr:col>17</xdr:col>
      <xdr:colOff>404813</xdr:colOff>
      <xdr:row>91</xdr:row>
      <xdr:rowOff>130969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381000</xdr:colOff>
      <xdr:row>65</xdr:row>
      <xdr:rowOff>11908</xdr:rowOff>
    </xdr:from>
    <xdr:to>
      <xdr:col>28</xdr:col>
      <xdr:colOff>773906</xdr:colOff>
      <xdr:row>91</xdr:row>
      <xdr:rowOff>130970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15</xdr:row>
      <xdr:rowOff>59531</xdr:rowOff>
    </xdr:from>
    <xdr:to>
      <xdr:col>14</xdr:col>
      <xdr:colOff>250030</xdr:colOff>
      <xdr:row>37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175590</xdr:colOff>
      <xdr:row>1</xdr:row>
      <xdr:rowOff>0</xdr:rowOff>
    </xdr:from>
    <xdr:to>
      <xdr:col>45</xdr:col>
      <xdr:colOff>0</xdr:colOff>
      <xdr:row>28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99"/>
  <sheetViews>
    <sheetView tabSelected="1" topLeftCell="O19" zoomScale="80" zoomScaleNormal="80" workbookViewId="0">
      <selection activeCell="Q33" sqref="Q33"/>
    </sheetView>
  </sheetViews>
  <sheetFormatPr defaultRowHeight="15"/>
  <cols>
    <col min="1" max="1" width="10.5703125" bestFit="1" customWidth="1"/>
    <col min="2" max="2" width="10.140625" bestFit="1" customWidth="1"/>
    <col min="3" max="3" width="12.140625" bestFit="1" customWidth="1"/>
    <col min="4" max="4" width="22" bestFit="1" customWidth="1"/>
    <col min="5" max="5" width="20.7109375" bestFit="1" customWidth="1"/>
    <col min="6" max="6" width="23.140625" customWidth="1"/>
    <col min="7" max="7" width="8.7109375" customWidth="1"/>
    <col min="8" max="8" width="20.7109375" bestFit="1" customWidth="1"/>
    <col min="10" max="10" width="10.28515625" bestFit="1" customWidth="1"/>
    <col min="12" max="12" width="15.7109375" bestFit="1" customWidth="1"/>
    <col min="13" max="13" width="23.42578125" customWidth="1"/>
    <col min="14" max="14" width="18.140625" bestFit="1" customWidth="1"/>
    <col min="17" max="17" width="18.140625" bestFit="1" customWidth="1"/>
    <col min="22" max="22" width="13" bestFit="1" customWidth="1"/>
    <col min="28" max="28" width="13" bestFit="1" customWidth="1"/>
    <col min="29" max="29" width="13.42578125" bestFit="1" customWidth="1"/>
    <col min="34" max="34" width="13" bestFit="1" customWidth="1"/>
  </cols>
  <sheetData>
    <row r="1" spans="1:35">
      <c r="A1">
        <v>18.5</v>
      </c>
      <c r="B1">
        <v>3826</v>
      </c>
      <c r="F1" s="5">
        <f>B1*$C$50/$D$50</f>
        <v>129.52655179999999</v>
      </c>
      <c r="G1" s="3"/>
      <c r="H1" s="7">
        <f>B1*$C$50</f>
        <v>2590.5310359999999</v>
      </c>
      <c r="J1" s="1" t="s">
        <v>3</v>
      </c>
      <c r="K1" s="1" t="s">
        <v>0</v>
      </c>
      <c r="L1" s="1" t="s">
        <v>2</v>
      </c>
      <c r="M1" s="1" t="s">
        <v>11</v>
      </c>
      <c r="N1" s="1" t="s">
        <v>12</v>
      </c>
      <c r="Q1" s="1" t="s">
        <v>9</v>
      </c>
      <c r="R1" s="1" t="s">
        <v>10</v>
      </c>
      <c r="V1">
        <f>EXP(-1/(A1+273.15))</f>
        <v>0.99657710415206546</v>
      </c>
      <c r="W1">
        <f xml:space="preserve"> (H1)</f>
        <v>2590.5310359999999</v>
      </c>
      <c r="X1">
        <f>(F1)</f>
        <v>129.52655179999999</v>
      </c>
      <c r="Z1">
        <f>(A1+273.15)</f>
        <v>291.64999999999998</v>
      </c>
      <c r="AB1">
        <f t="shared" ref="AB1:AB21" si="0">LN(W1)</f>
        <v>7.8596181668817815</v>
      </c>
      <c r="AC1">
        <f>LN(X1)</f>
        <v>4.8638858933277911</v>
      </c>
      <c r="AE1">
        <f>1/Z1</f>
        <v>3.4287673581347507E-3</v>
      </c>
      <c r="AG1">
        <f>1000/(H1+273.15)</f>
        <v>0.34920090171662538</v>
      </c>
      <c r="AH1">
        <f>(AB1)</f>
        <v>7.8596181668817815</v>
      </c>
      <c r="AI1" s="9">
        <f>AC1</f>
        <v>4.8638858933277911</v>
      </c>
    </row>
    <row r="2" spans="1:35">
      <c r="A2">
        <v>16.100000000000001</v>
      </c>
      <c r="B2">
        <v>3134</v>
      </c>
      <c r="F2" s="5">
        <f t="shared" ref="F2:F50" si="1">B2*$C$50/$D$50</f>
        <v>106.09937619999998</v>
      </c>
      <c r="G2" s="3"/>
      <c r="H2" s="7">
        <f t="shared" ref="H2:H50" si="2">B2*$C$50</f>
        <v>2121.9875239999997</v>
      </c>
      <c r="J2">
        <v>100</v>
      </c>
      <c r="K2">
        <v>1869</v>
      </c>
      <c r="M2" s="7">
        <f>AVERAGE(K9:K14)</f>
        <v>1759.069428</v>
      </c>
      <c r="N2" s="7">
        <f>SQRT((1/5)*((K9-M2)^2+(K10-M2)^2+(K11-M2)^2+(K12-M2)^2+(K13-M2)^2+(K14-M2)^2))</f>
        <v>780.81057277960508</v>
      </c>
      <c r="Q2" s="6">
        <f>AVERAGE(F1:F30)</f>
        <v>54.047087861538451</v>
      </c>
      <c r="R2">
        <f>AVERAGE(F1:F50)</f>
        <v>49.108606002173907</v>
      </c>
      <c r="V2">
        <f t="shared" ref="V2:V30" si="3">EXP(-1/(A2+273.15))</f>
        <v>0.99654875235309448</v>
      </c>
      <c r="W2">
        <f t="shared" ref="W2:W30" si="4" xml:space="preserve"> (H2)</f>
        <v>2121.9875239999997</v>
      </c>
      <c r="X2">
        <f t="shared" ref="X2:X30" si="5">(F2)</f>
        <v>106.09937619999998</v>
      </c>
      <c r="Z2">
        <f>(A2+273.15)</f>
        <v>289.25</v>
      </c>
      <c r="AB2">
        <f t="shared" si="0"/>
        <v>7.6601084397975496</v>
      </c>
      <c r="AC2">
        <f t="shared" ref="AC2:AC30" si="6">LN(X2)</f>
        <v>4.6643761662435583</v>
      </c>
      <c r="AE2">
        <f t="shared" ref="AE2:AE30" si="7">1/Z2</f>
        <v>3.4572169403630079E-3</v>
      </c>
      <c r="AG2">
        <f t="shared" ref="AG2:AG30" si="8">1000/(H2+273.15)</f>
        <v>0.41751256033513678</v>
      </c>
      <c r="AH2">
        <f t="shared" ref="AH2:AH30" si="9">(AB2)</f>
        <v>7.6601084397975496</v>
      </c>
      <c r="AI2" s="9">
        <f>AC2</f>
        <v>4.6643761662435583</v>
      </c>
    </row>
    <row r="3" spans="1:35">
      <c r="A3">
        <v>13.8</v>
      </c>
      <c r="B3">
        <v>2595</v>
      </c>
      <c r="F3" s="4">
        <f t="shared" si="1"/>
        <v>87.851908499999993</v>
      </c>
      <c r="G3" s="3"/>
      <c r="H3" s="7">
        <f t="shared" si="2"/>
        <v>1757.0381699999998</v>
      </c>
      <c r="J3">
        <v>300</v>
      </c>
      <c r="K3">
        <v>1899</v>
      </c>
      <c r="V3">
        <f t="shared" si="3"/>
        <v>0.99652113762497285</v>
      </c>
      <c r="W3">
        <f t="shared" si="4"/>
        <v>1757.0381699999998</v>
      </c>
      <c r="X3">
        <f t="shared" si="5"/>
        <v>87.851908499999993</v>
      </c>
      <c r="Z3">
        <f t="shared" ref="Z3:Z30" si="10">(A3+273.15)</f>
        <v>286.95</v>
      </c>
      <c r="AB3">
        <f t="shared" si="0"/>
        <v>7.4713848124815723</v>
      </c>
      <c r="AC3">
        <f t="shared" si="6"/>
        <v>4.4756525389275819</v>
      </c>
      <c r="AE3">
        <f t="shared" si="7"/>
        <v>3.4849276877504795E-3</v>
      </c>
      <c r="AG3">
        <f t="shared" si="8"/>
        <v>0.49256517931537352</v>
      </c>
      <c r="AH3">
        <f t="shared" si="9"/>
        <v>7.4713848124815723</v>
      </c>
      <c r="AI3" s="9">
        <f>AC3</f>
        <v>4.4756525389275819</v>
      </c>
    </row>
    <row r="4" spans="1:35">
      <c r="A4">
        <v>11.5</v>
      </c>
      <c r="B4">
        <v>2190</v>
      </c>
      <c r="F4" s="4">
        <f t="shared" si="1"/>
        <v>74.140917000000002</v>
      </c>
      <c r="G4" s="3"/>
      <c r="H4" s="7">
        <f t="shared" si="2"/>
        <v>1482.81834</v>
      </c>
      <c r="J4">
        <v>900</v>
      </c>
      <c r="K4">
        <v>1962</v>
      </c>
      <c r="V4">
        <f t="shared" si="3"/>
        <v>0.99649307742127502</v>
      </c>
      <c r="W4">
        <f t="shared" si="4"/>
        <v>1482.81834</v>
      </c>
      <c r="X4">
        <f t="shared" si="5"/>
        <v>74.140917000000002</v>
      </c>
      <c r="Z4">
        <f t="shared" si="10"/>
        <v>284.64999999999998</v>
      </c>
      <c r="AB4">
        <f t="shared" si="0"/>
        <v>7.3016998396921302</v>
      </c>
      <c r="AC4">
        <f t="shared" si="6"/>
        <v>4.3059675661381389</v>
      </c>
      <c r="AE4">
        <f t="shared" si="7"/>
        <v>3.5130862462673463E-3</v>
      </c>
      <c r="AG4">
        <f t="shared" si="8"/>
        <v>0.56948634962290956</v>
      </c>
      <c r="AH4">
        <f t="shared" si="9"/>
        <v>7.3016998396921302</v>
      </c>
      <c r="AI4" s="9">
        <f>AC4</f>
        <v>4.3059675661381389</v>
      </c>
    </row>
    <row r="5" spans="1:35">
      <c r="A5">
        <v>8.8000000000000007</v>
      </c>
      <c r="B5">
        <v>1899</v>
      </c>
      <c r="F5" s="4">
        <f t="shared" si="1"/>
        <v>64.289315700000003</v>
      </c>
      <c r="G5" s="3"/>
      <c r="H5" s="7">
        <f t="shared" si="2"/>
        <v>1285.7863139999999</v>
      </c>
      <c r="J5">
        <v>3000</v>
      </c>
      <c r="K5">
        <v>2170</v>
      </c>
      <c r="V5">
        <f t="shared" si="3"/>
        <v>0.99645955406768061</v>
      </c>
      <c r="W5">
        <f t="shared" si="4"/>
        <v>1285.7863139999999</v>
      </c>
      <c r="X5">
        <f t="shared" si="5"/>
        <v>64.289315700000003</v>
      </c>
      <c r="Z5">
        <f t="shared" si="10"/>
        <v>281.95</v>
      </c>
      <c r="AB5">
        <f t="shared" si="0"/>
        <v>7.1591257276938691</v>
      </c>
      <c r="AC5">
        <f t="shared" si="6"/>
        <v>4.1633934541398787</v>
      </c>
      <c r="AE5">
        <f t="shared" si="7"/>
        <v>3.5467281432878172E-3</v>
      </c>
      <c r="AG5">
        <f t="shared" si="8"/>
        <v>0.64146302258759236</v>
      </c>
      <c r="AH5">
        <f t="shared" si="9"/>
        <v>7.1591257276938691</v>
      </c>
      <c r="AI5" s="9">
        <f>AC5</f>
        <v>4.1633934541398787</v>
      </c>
    </row>
    <row r="6" spans="1:35">
      <c r="A6">
        <v>6.3</v>
      </c>
      <c r="B6">
        <v>1696</v>
      </c>
      <c r="F6" s="4">
        <f t="shared" si="1"/>
        <v>57.416892799999992</v>
      </c>
      <c r="G6" s="3"/>
      <c r="H6" s="7">
        <f t="shared" si="2"/>
        <v>1148.3378559999999</v>
      </c>
      <c r="J6">
        <v>9000</v>
      </c>
      <c r="K6">
        <v>2860</v>
      </c>
      <c r="V6">
        <f t="shared" si="3"/>
        <v>0.99642793736455093</v>
      </c>
      <c r="W6">
        <f t="shared" si="4"/>
        <v>1148.3378559999999</v>
      </c>
      <c r="X6">
        <f t="shared" si="5"/>
        <v>57.416892799999992</v>
      </c>
      <c r="Z6">
        <f t="shared" si="10"/>
        <v>279.45</v>
      </c>
      <c r="AB6">
        <f t="shared" si="0"/>
        <v>7.0460708332334319</v>
      </c>
      <c r="AC6">
        <f t="shared" si="6"/>
        <v>4.0503385596794406</v>
      </c>
      <c r="AE6">
        <f t="shared" si="7"/>
        <v>3.5784576847378781E-3</v>
      </c>
      <c r="AG6">
        <f t="shared" si="8"/>
        <v>0.70348824703571733</v>
      </c>
      <c r="AH6">
        <f t="shared" si="9"/>
        <v>7.0460708332334319</v>
      </c>
      <c r="AI6" s="9">
        <f>AC6</f>
        <v>4.0503385596794406</v>
      </c>
    </row>
    <row r="7" spans="1:35">
      <c r="A7">
        <v>3.6</v>
      </c>
      <c r="B7">
        <v>1557</v>
      </c>
      <c r="F7" s="4">
        <f t="shared" si="1"/>
        <v>52.711145099999996</v>
      </c>
      <c r="G7" s="3"/>
      <c r="H7" s="7">
        <f t="shared" si="2"/>
        <v>1054.222902</v>
      </c>
      <c r="J7">
        <v>30000</v>
      </c>
      <c r="K7">
        <v>4828</v>
      </c>
      <c r="V7">
        <f t="shared" si="3"/>
        <v>0.9963931508965661</v>
      </c>
      <c r="W7">
        <f t="shared" si="4"/>
        <v>1054.222902</v>
      </c>
      <c r="X7">
        <f t="shared" si="5"/>
        <v>52.711145099999996</v>
      </c>
      <c r="Z7">
        <f t="shared" si="10"/>
        <v>276.75</v>
      </c>
      <c r="AB7">
        <f t="shared" si="0"/>
        <v>6.9605591887155818</v>
      </c>
      <c r="AC7">
        <f t="shared" si="6"/>
        <v>3.9648269151615909</v>
      </c>
      <c r="AE7">
        <f t="shared" si="7"/>
        <v>3.6133694670280035E-3</v>
      </c>
      <c r="AG7">
        <f t="shared" si="8"/>
        <v>0.75336779777051677</v>
      </c>
      <c r="AH7">
        <f t="shared" si="9"/>
        <v>6.9605591887155818</v>
      </c>
      <c r="AI7" s="9">
        <f>AC7</f>
        <v>3.9648269151615909</v>
      </c>
    </row>
    <row r="8" spans="1:35">
      <c r="A8">
        <v>1</v>
      </c>
      <c r="B8">
        <v>1463</v>
      </c>
      <c r="F8" s="4">
        <f t="shared" si="1"/>
        <v>49.528840899999999</v>
      </c>
      <c r="G8" s="3"/>
      <c r="H8" s="5">
        <f t="shared" si="2"/>
        <v>990.576818</v>
      </c>
      <c r="V8">
        <f t="shared" si="3"/>
        <v>0.9963590063963299</v>
      </c>
      <c r="W8">
        <f t="shared" si="4"/>
        <v>990.576818</v>
      </c>
      <c r="X8">
        <f t="shared" si="5"/>
        <v>49.528840899999999</v>
      </c>
      <c r="Z8">
        <f t="shared" si="10"/>
        <v>274.14999999999998</v>
      </c>
      <c r="AB8">
        <f t="shared" si="0"/>
        <v>6.8982874179017077</v>
      </c>
      <c r="AC8">
        <f t="shared" si="6"/>
        <v>3.9025551443477169</v>
      </c>
      <c r="AE8">
        <f t="shared" si="7"/>
        <v>3.6476381542950944E-3</v>
      </c>
      <c r="AG8">
        <f t="shared" si="8"/>
        <v>0.79131026243679825</v>
      </c>
      <c r="AH8">
        <f t="shared" si="9"/>
        <v>6.8982874179017077</v>
      </c>
      <c r="AI8" s="9">
        <f>AC8</f>
        <v>3.9025551443477169</v>
      </c>
    </row>
    <row r="9" spans="1:35">
      <c r="A9">
        <v>-1.6</v>
      </c>
      <c r="B9">
        <v>1399</v>
      </c>
      <c r="F9" s="4">
        <f t="shared" si="1"/>
        <v>47.362165699999998</v>
      </c>
      <c r="G9" s="3"/>
      <c r="H9" s="5">
        <f t="shared" si="2"/>
        <v>947.24331399999994</v>
      </c>
      <c r="J9">
        <f>J2*0.01</f>
        <v>1</v>
      </c>
      <c r="K9" s="7">
        <f>K2*$C$50</f>
        <v>1265.4737339999999</v>
      </c>
      <c r="M9" s="7">
        <f>K9/J9</f>
        <v>1265.4737339999999</v>
      </c>
      <c r="V9">
        <f t="shared" si="3"/>
        <v>0.99632420925575205</v>
      </c>
      <c r="W9">
        <f t="shared" si="4"/>
        <v>947.24331399999994</v>
      </c>
      <c r="X9">
        <f t="shared" si="5"/>
        <v>47.362165699999998</v>
      </c>
      <c r="Z9">
        <f t="shared" si="10"/>
        <v>271.54999999999995</v>
      </c>
      <c r="AB9">
        <f t="shared" si="0"/>
        <v>6.853555991547065</v>
      </c>
      <c r="AC9">
        <f t="shared" si="6"/>
        <v>3.8578237179930737</v>
      </c>
      <c r="AE9">
        <f t="shared" si="7"/>
        <v>3.6825630638924697E-3</v>
      </c>
      <c r="AG9">
        <f t="shared" si="8"/>
        <v>0.81940796342317557</v>
      </c>
      <c r="AH9">
        <f t="shared" si="9"/>
        <v>6.853555991547065</v>
      </c>
      <c r="AI9" s="9">
        <f>AC9</f>
        <v>3.8578237179930737</v>
      </c>
    </row>
    <row r="10" spans="1:35">
      <c r="A10">
        <v>-5.6</v>
      </c>
      <c r="B10">
        <v>1356</v>
      </c>
      <c r="F10" s="4">
        <f t="shared" si="1"/>
        <v>45.906430799999995</v>
      </c>
      <c r="G10" s="3"/>
      <c r="H10" s="5">
        <f t="shared" si="2"/>
        <v>918.12861599999997</v>
      </c>
      <c r="J10">
        <f t="shared" ref="J10:J13" si="11">J3*0.01</f>
        <v>3</v>
      </c>
      <c r="K10" s="7">
        <f>K3*$C$50</f>
        <v>1285.7863139999999</v>
      </c>
      <c r="M10" s="6">
        <f t="shared" ref="M10:M14" si="12">K10/J10</f>
        <v>428.595438</v>
      </c>
      <c r="V10">
        <f>EXP(-1/(A10+273.15))</f>
        <v>0.99626935706762398</v>
      </c>
      <c r="W10">
        <f t="shared" si="4"/>
        <v>918.12861599999997</v>
      </c>
      <c r="X10">
        <f t="shared" si="5"/>
        <v>45.906430799999995</v>
      </c>
      <c r="Z10">
        <f t="shared" si="10"/>
        <v>267.54999999999995</v>
      </c>
      <c r="AB10">
        <f t="shared" si="0"/>
        <v>6.8223374853819241</v>
      </c>
      <c r="AC10">
        <f t="shared" si="6"/>
        <v>3.8266052118279332</v>
      </c>
      <c r="AE10">
        <f t="shared" si="7"/>
        <v>3.73761913660998E-3</v>
      </c>
      <c r="AG10">
        <f t="shared" si="8"/>
        <v>0.83943418992757268</v>
      </c>
      <c r="AH10">
        <f t="shared" si="9"/>
        <v>6.8223374853819241</v>
      </c>
      <c r="AI10" s="9">
        <f>AC10</f>
        <v>3.8266052118279332</v>
      </c>
    </row>
    <row r="11" spans="1:35">
      <c r="A11">
        <v>-8</v>
      </c>
      <c r="B11">
        <v>1327</v>
      </c>
      <c r="F11" s="4">
        <f t="shared" si="1"/>
        <v>44.9246561</v>
      </c>
      <c r="G11" s="3"/>
      <c r="H11" s="5">
        <f t="shared" si="2"/>
        <v>898.49312199999997</v>
      </c>
      <c r="J11">
        <f t="shared" si="11"/>
        <v>9</v>
      </c>
      <c r="K11" s="7">
        <f>K4*$C$50</f>
        <v>1328.442732</v>
      </c>
      <c r="M11" s="6">
        <f t="shared" si="12"/>
        <v>147.604748</v>
      </c>
      <c r="V11">
        <f t="shared" si="3"/>
        <v>0.99623565286311688</v>
      </c>
      <c r="W11">
        <f t="shared" si="4"/>
        <v>898.49312199999997</v>
      </c>
      <c r="X11">
        <f t="shared" si="5"/>
        <v>44.9246561</v>
      </c>
      <c r="Z11">
        <f t="shared" si="10"/>
        <v>265.14999999999998</v>
      </c>
      <c r="AB11">
        <f t="shared" si="0"/>
        <v>6.8007190512137914</v>
      </c>
      <c r="AC11">
        <f t="shared" si="6"/>
        <v>3.8049867776598001</v>
      </c>
      <c r="AE11">
        <f t="shared" si="7"/>
        <v>3.7714501225721295E-3</v>
      </c>
      <c r="AG11">
        <f t="shared" si="8"/>
        <v>0.85350221515660474</v>
      </c>
      <c r="AH11">
        <f t="shared" si="9"/>
        <v>6.8007190512137914</v>
      </c>
      <c r="AI11" s="9">
        <f>AC11</f>
        <v>3.8049867776598001</v>
      </c>
    </row>
    <row r="12" spans="1:35">
      <c r="A12">
        <v>-11.5</v>
      </c>
      <c r="B12">
        <v>1307</v>
      </c>
      <c r="F12" s="4">
        <f t="shared" si="1"/>
        <v>44.247570099999997</v>
      </c>
      <c r="G12" s="3"/>
      <c r="H12" s="5">
        <f t="shared" si="2"/>
        <v>884.95140199999992</v>
      </c>
      <c r="J12">
        <f t="shared" si="11"/>
        <v>30</v>
      </c>
      <c r="K12" s="7">
        <f>K5*$C$50</f>
        <v>1469.2766199999999</v>
      </c>
      <c r="M12" s="8">
        <f t="shared" si="12"/>
        <v>48.975887333333326</v>
      </c>
      <c r="V12">
        <f t="shared" si="3"/>
        <v>0.99618539467831224</v>
      </c>
      <c r="W12">
        <f t="shared" si="4"/>
        <v>884.95140199999992</v>
      </c>
      <c r="X12">
        <f t="shared" si="5"/>
        <v>44.247570099999997</v>
      </c>
      <c r="Z12">
        <f t="shared" si="10"/>
        <v>261.64999999999998</v>
      </c>
      <c r="AB12">
        <f t="shared" si="0"/>
        <v>6.7855327305058051</v>
      </c>
      <c r="AC12">
        <f t="shared" si="6"/>
        <v>3.7898004569518147</v>
      </c>
      <c r="AE12">
        <f t="shared" si="7"/>
        <v>3.8218994840435701E-3</v>
      </c>
      <c r="AG12">
        <f t="shared" si="8"/>
        <v>0.86348224626361358</v>
      </c>
      <c r="AH12">
        <f t="shared" si="9"/>
        <v>6.7855327305058051</v>
      </c>
      <c r="AI12" s="9">
        <f>AC12</f>
        <v>3.7898004569518147</v>
      </c>
    </row>
    <row r="13" spans="1:35">
      <c r="A13">
        <v>-13.1</v>
      </c>
      <c r="B13">
        <v>1293</v>
      </c>
      <c r="F13" s="4">
        <f t="shared" si="1"/>
        <v>43.773609899999997</v>
      </c>
      <c r="G13" s="3"/>
      <c r="H13" s="5">
        <f t="shared" si="2"/>
        <v>875.47219799999993</v>
      </c>
      <c r="J13">
        <f t="shared" si="11"/>
        <v>90</v>
      </c>
      <c r="K13" s="7">
        <f>K6*$C$50</f>
        <v>1936.46596</v>
      </c>
      <c r="M13" s="8">
        <f t="shared" si="12"/>
        <v>21.516288444444445</v>
      </c>
      <c r="V13">
        <f t="shared" si="3"/>
        <v>0.9961619697942854</v>
      </c>
      <c r="W13">
        <f t="shared" si="4"/>
        <v>875.47219799999993</v>
      </c>
      <c r="X13">
        <f t="shared" si="5"/>
        <v>43.773609899999997</v>
      </c>
      <c r="Z13">
        <f t="shared" si="10"/>
        <v>260.04999999999995</v>
      </c>
      <c r="AB13">
        <f t="shared" si="0"/>
        <v>6.7747633956534408</v>
      </c>
      <c r="AC13">
        <f t="shared" si="6"/>
        <v>3.7790311220994499</v>
      </c>
      <c r="AE13">
        <f t="shared" si="7"/>
        <v>3.8454143433955014E-3</v>
      </c>
      <c r="AG13">
        <f t="shared" si="8"/>
        <v>0.87060828333390783</v>
      </c>
      <c r="AH13">
        <f t="shared" si="9"/>
        <v>6.7747633956534408</v>
      </c>
      <c r="AI13" s="9">
        <f>AC13</f>
        <v>3.7790311220994499</v>
      </c>
    </row>
    <row r="14" spans="1:35">
      <c r="A14">
        <v>-16</v>
      </c>
      <c r="B14">
        <v>1284</v>
      </c>
      <c r="F14" s="4">
        <f t="shared" si="1"/>
        <v>43.468921199999997</v>
      </c>
      <c r="G14" s="3"/>
      <c r="H14" s="5">
        <f t="shared" si="2"/>
        <v>869.378424</v>
      </c>
      <c r="J14">
        <f>J7*0.01</f>
        <v>300</v>
      </c>
      <c r="K14" s="7">
        <f>K7*$C$50</f>
        <v>3268.9712079999999</v>
      </c>
      <c r="M14" s="8">
        <f t="shared" si="12"/>
        <v>10.896570693333333</v>
      </c>
      <c r="V14">
        <f t="shared" si="3"/>
        <v>0.99611877064921617</v>
      </c>
      <c r="W14">
        <f t="shared" si="4"/>
        <v>869.378424</v>
      </c>
      <c r="X14">
        <f t="shared" si="5"/>
        <v>43.468921199999997</v>
      </c>
      <c r="Z14">
        <f t="shared" si="10"/>
        <v>257.14999999999998</v>
      </c>
      <c r="AB14">
        <f t="shared" si="0"/>
        <v>6.7677785011314899</v>
      </c>
      <c r="AC14">
        <f t="shared" si="6"/>
        <v>3.7720462275774991</v>
      </c>
      <c r="AE14">
        <f t="shared" si="7"/>
        <v>3.8887808671981337E-3</v>
      </c>
      <c r="AG14">
        <f t="shared" si="8"/>
        <v>0.87525174778496362</v>
      </c>
      <c r="AH14">
        <f t="shared" si="9"/>
        <v>6.7677785011314899</v>
      </c>
      <c r="AI14" s="9">
        <f>AC14</f>
        <v>3.7720462275774991</v>
      </c>
    </row>
    <row r="15" spans="1:35">
      <c r="A15">
        <v>-18.3</v>
      </c>
      <c r="B15">
        <v>1277</v>
      </c>
      <c r="F15" s="4">
        <f t="shared" si="1"/>
        <v>43.2319411</v>
      </c>
      <c r="G15" s="3"/>
      <c r="H15" s="5">
        <f t="shared" si="2"/>
        <v>864.638822</v>
      </c>
      <c r="V15">
        <f t="shared" si="3"/>
        <v>0.99608381155493664</v>
      </c>
      <c r="W15">
        <f t="shared" si="4"/>
        <v>864.638822</v>
      </c>
      <c r="X15">
        <f t="shared" si="5"/>
        <v>43.2319411</v>
      </c>
      <c r="Z15">
        <f t="shared" si="10"/>
        <v>254.84999999999997</v>
      </c>
      <c r="AB15">
        <f t="shared" si="0"/>
        <v>6.7623118729141227</v>
      </c>
      <c r="AC15">
        <f t="shared" si="6"/>
        <v>3.7665795993601319</v>
      </c>
      <c r="AE15">
        <f t="shared" si="7"/>
        <v>3.9238767902687859E-3</v>
      </c>
      <c r="AG15">
        <f t="shared" si="8"/>
        <v>0.87889771868403888</v>
      </c>
      <c r="AH15">
        <f t="shared" si="9"/>
        <v>6.7623118729141227</v>
      </c>
      <c r="AI15" s="9">
        <f>AC15</f>
        <v>3.7665795993601319</v>
      </c>
    </row>
    <row r="16" spans="1:35">
      <c r="A16">
        <v>-20.9</v>
      </c>
      <c r="B16">
        <v>1272</v>
      </c>
      <c r="F16" s="4">
        <f t="shared" si="1"/>
        <v>43.0626696</v>
      </c>
      <c r="G16" s="3"/>
      <c r="H16" s="5">
        <f t="shared" si="2"/>
        <v>861.25339199999996</v>
      </c>
      <c r="V16">
        <f t="shared" si="3"/>
        <v>0.99604352643743077</v>
      </c>
      <c r="W16">
        <f t="shared" si="4"/>
        <v>861.25339199999996</v>
      </c>
      <c r="X16">
        <f t="shared" si="5"/>
        <v>43.0626696</v>
      </c>
      <c r="Z16">
        <f t="shared" si="10"/>
        <v>252.24999999999997</v>
      </c>
      <c r="AB16">
        <f t="shared" si="0"/>
        <v>6.7583887607816511</v>
      </c>
      <c r="AC16">
        <f t="shared" si="6"/>
        <v>3.7626564872276602</v>
      </c>
      <c r="AE16">
        <f t="shared" si="7"/>
        <v>3.9643211100099116E-3</v>
      </c>
      <c r="AG16">
        <f t="shared" si="8"/>
        <v>0.88152063635578415</v>
      </c>
      <c r="AH16">
        <f t="shared" si="9"/>
        <v>6.7583887607816511</v>
      </c>
      <c r="AI16" s="9">
        <f>AC16</f>
        <v>3.7626564872276602</v>
      </c>
    </row>
    <row r="17" spans="1:35">
      <c r="A17">
        <v>-22.3</v>
      </c>
      <c r="B17">
        <v>1269</v>
      </c>
      <c r="F17" s="4">
        <f t="shared" si="1"/>
        <v>42.961106700000002</v>
      </c>
      <c r="G17" s="3"/>
      <c r="H17" s="5">
        <f t="shared" si="2"/>
        <v>859.22213399999998</v>
      </c>
      <c r="V17">
        <f t="shared" si="3"/>
        <v>0.99602148924478295</v>
      </c>
      <c r="W17">
        <f t="shared" si="4"/>
        <v>859.22213399999998</v>
      </c>
      <c r="X17">
        <f t="shared" si="5"/>
        <v>42.961106700000002</v>
      </c>
      <c r="Z17">
        <f t="shared" si="10"/>
        <v>250.84999999999997</v>
      </c>
      <c r="AB17">
        <f t="shared" si="0"/>
        <v>6.7560274845959709</v>
      </c>
      <c r="AC17">
        <f t="shared" si="6"/>
        <v>3.7602952110419805</v>
      </c>
      <c r="AE17">
        <f t="shared" si="7"/>
        <v>3.9864460833167236E-3</v>
      </c>
      <c r="AG17">
        <f t="shared" si="8"/>
        <v>0.88310191497524082</v>
      </c>
      <c r="AH17">
        <f t="shared" si="9"/>
        <v>6.7560274845959709</v>
      </c>
      <c r="AI17" s="9">
        <f>AC17</f>
        <v>3.7602952110419805</v>
      </c>
    </row>
    <row r="18" spans="1:35">
      <c r="A18">
        <v>-24.3</v>
      </c>
      <c r="B18">
        <v>1267</v>
      </c>
      <c r="F18" s="4">
        <f t="shared" si="1"/>
        <v>42.893398099999999</v>
      </c>
      <c r="G18" s="3"/>
      <c r="H18" s="5">
        <f t="shared" si="2"/>
        <v>857.86796199999992</v>
      </c>
      <c r="V18">
        <f t="shared" si="3"/>
        <v>0.99598957827545465</v>
      </c>
      <c r="W18">
        <f t="shared" si="4"/>
        <v>857.86796199999992</v>
      </c>
      <c r="X18">
        <f t="shared" si="5"/>
        <v>42.893398099999999</v>
      </c>
      <c r="Z18">
        <f t="shared" si="10"/>
        <v>248.84999999999997</v>
      </c>
      <c r="AB18">
        <f t="shared" si="0"/>
        <v>6.7544501972027229</v>
      </c>
      <c r="AC18">
        <f t="shared" si="6"/>
        <v>3.7587179236487316</v>
      </c>
      <c r="AE18">
        <f t="shared" si="7"/>
        <v>4.0184850311432594E-3</v>
      </c>
      <c r="AG18">
        <f t="shared" si="8"/>
        <v>0.88415925617280344</v>
      </c>
      <c r="AH18">
        <f t="shared" si="9"/>
        <v>6.7544501972027229</v>
      </c>
      <c r="AI18" s="9">
        <f>AC18</f>
        <v>3.7587179236487316</v>
      </c>
    </row>
    <row r="19" spans="1:35">
      <c r="A19">
        <v>-26.1</v>
      </c>
      <c r="B19">
        <v>1265</v>
      </c>
      <c r="F19" s="4">
        <f t="shared" si="1"/>
        <v>42.825689499999996</v>
      </c>
      <c r="G19" s="3"/>
      <c r="H19" s="5">
        <f t="shared" si="2"/>
        <v>856.51378999999997</v>
      </c>
      <c r="V19">
        <f t="shared" si="3"/>
        <v>0.99596041754233844</v>
      </c>
      <c r="W19">
        <f t="shared" si="4"/>
        <v>856.51378999999997</v>
      </c>
      <c r="X19">
        <f t="shared" si="5"/>
        <v>42.825689499999996</v>
      </c>
      <c r="Z19">
        <f t="shared" si="10"/>
        <v>247.04999999999998</v>
      </c>
      <c r="AB19">
        <f t="shared" si="0"/>
        <v>6.7528704180432042</v>
      </c>
      <c r="AC19">
        <f t="shared" si="6"/>
        <v>3.7571381444892133</v>
      </c>
      <c r="AE19">
        <f t="shared" si="7"/>
        <v>4.0477636106051413E-3</v>
      </c>
      <c r="AG19">
        <f t="shared" si="8"/>
        <v>0.88521913232254701</v>
      </c>
      <c r="AH19">
        <f t="shared" si="9"/>
        <v>6.7528704180432042</v>
      </c>
      <c r="AI19" s="9">
        <f>AC19</f>
        <v>3.7571381444892133</v>
      </c>
    </row>
    <row r="20" spans="1:35">
      <c r="A20">
        <v>-27.5</v>
      </c>
      <c r="B20">
        <v>1264</v>
      </c>
      <c r="F20" s="4">
        <f t="shared" si="1"/>
        <v>42.791835199999994</v>
      </c>
      <c r="G20" s="3"/>
      <c r="H20" s="5">
        <f t="shared" si="2"/>
        <v>855.83670399999994</v>
      </c>
      <c r="V20">
        <f t="shared" si="3"/>
        <v>0.99593744212133117</v>
      </c>
      <c r="W20">
        <f t="shared" si="4"/>
        <v>855.83670399999994</v>
      </c>
      <c r="X20">
        <f t="shared" si="5"/>
        <v>42.791835199999994</v>
      </c>
      <c r="Z20">
        <f t="shared" si="10"/>
        <v>245.64999999999998</v>
      </c>
      <c r="AB20">
        <f t="shared" si="0"/>
        <v>6.7520795915883864</v>
      </c>
      <c r="AC20">
        <f t="shared" si="6"/>
        <v>3.7563473180343951</v>
      </c>
      <c r="AE20">
        <f t="shared" si="7"/>
        <v>4.0708324852432327E-3</v>
      </c>
      <c r="AG20">
        <f t="shared" si="8"/>
        <v>0.88575002385501966</v>
      </c>
      <c r="AH20">
        <f t="shared" si="9"/>
        <v>6.7520795915883864</v>
      </c>
      <c r="AI20" s="9">
        <f>AC20</f>
        <v>3.7563473180343951</v>
      </c>
    </row>
    <row r="21" spans="1:35">
      <c r="A21">
        <v>-28.7</v>
      </c>
      <c r="B21">
        <v>1263</v>
      </c>
      <c r="F21" s="4">
        <f t="shared" si="1"/>
        <v>42.757980899999993</v>
      </c>
      <c r="G21" s="3"/>
      <c r="H21" s="5">
        <f t="shared" si="2"/>
        <v>855.15961799999991</v>
      </c>
      <c r="V21">
        <f t="shared" si="3"/>
        <v>0.99591753987228315</v>
      </c>
      <c r="W21">
        <f t="shared" si="4"/>
        <v>855.15961799999991</v>
      </c>
      <c r="X21">
        <f t="shared" si="5"/>
        <v>42.757980899999993</v>
      </c>
      <c r="Z21">
        <f t="shared" si="10"/>
        <v>244.45</v>
      </c>
      <c r="AB21">
        <f t="shared" si="0"/>
        <v>6.7512881392320745</v>
      </c>
      <c r="AC21">
        <f t="shared" si="6"/>
        <v>3.7555558656780836</v>
      </c>
      <c r="AE21">
        <f t="shared" si="7"/>
        <v>4.0908161178155045E-3</v>
      </c>
      <c r="AG21">
        <f t="shared" si="8"/>
        <v>0.88628155255165098</v>
      </c>
      <c r="AH21">
        <f t="shared" si="9"/>
        <v>6.7512881392320745</v>
      </c>
      <c r="AI21" s="9">
        <f>AC21</f>
        <v>3.7555558656780836</v>
      </c>
    </row>
    <row r="22" spans="1:35">
      <c r="A22">
        <v>-29.8</v>
      </c>
      <c r="B22">
        <v>1262</v>
      </c>
      <c r="F22" s="4">
        <f t="shared" si="1"/>
        <v>42.724126599999998</v>
      </c>
      <c r="G22" s="3"/>
      <c r="H22" s="5">
        <f t="shared" si="2"/>
        <v>854.48253199999999</v>
      </c>
      <c r="V22">
        <f t="shared" si="3"/>
        <v>0.9958991240693581</v>
      </c>
      <c r="W22">
        <f t="shared" si="4"/>
        <v>854.48253199999999</v>
      </c>
      <c r="X22">
        <f t="shared" si="5"/>
        <v>42.724126599999998</v>
      </c>
      <c r="Z22">
        <f t="shared" si="10"/>
        <v>243.34999999999997</v>
      </c>
      <c r="AB22">
        <f t="shared" ref="AB22:AB30" si="13">LN(W22)</f>
        <v>6.7504960599827424</v>
      </c>
      <c r="AC22">
        <f t="shared" si="6"/>
        <v>3.7547637864287511</v>
      </c>
      <c r="AE22">
        <f t="shared" si="7"/>
        <v>4.1093075816724884E-3</v>
      </c>
      <c r="AG22">
        <f t="shared" si="8"/>
        <v>0.88681371956019439</v>
      </c>
      <c r="AH22">
        <f t="shared" si="9"/>
        <v>6.7504960599827424</v>
      </c>
      <c r="AI22" s="9">
        <f>AC22</f>
        <v>3.7547637864287511</v>
      </c>
    </row>
    <row r="23" spans="1:35">
      <c r="F23" s="4"/>
      <c r="G23" s="3"/>
      <c r="H23" s="5"/>
      <c r="V23">
        <f t="shared" si="3"/>
        <v>0.99634570113233345</v>
      </c>
      <c r="Z23">
        <f t="shared" si="10"/>
        <v>273.14999999999998</v>
      </c>
      <c r="AE23">
        <f t="shared" si="7"/>
        <v>3.6609921288669233E-3</v>
      </c>
      <c r="AI23" s="9"/>
    </row>
    <row r="24" spans="1:35">
      <c r="F24" s="4"/>
      <c r="G24" s="3"/>
      <c r="H24" s="5"/>
      <c r="V24">
        <f t="shared" si="3"/>
        <v>0.99634570113233345</v>
      </c>
      <c r="Z24">
        <f t="shared" si="10"/>
        <v>273.14999999999998</v>
      </c>
      <c r="AE24">
        <f t="shared" si="7"/>
        <v>3.6609921288669233E-3</v>
      </c>
      <c r="AI24" s="9"/>
    </row>
    <row r="25" spans="1:35">
      <c r="F25" s="4"/>
      <c r="G25" s="3"/>
      <c r="H25" s="5"/>
      <c r="V25">
        <f t="shared" si="3"/>
        <v>0.99634570113233345</v>
      </c>
      <c r="Z25">
        <f t="shared" si="10"/>
        <v>273.14999999999998</v>
      </c>
      <c r="AE25">
        <f t="shared" si="7"/>
        <v>3.6609921288669233E-3</v>
      </c>
      <c r="AI25" s="9"/>
    </row>
    <row r="26" spans="1:35">
      <c r="F26" s="4"/>
      <c r="G26" s="3"/>
      <c r="H26" s="5"/>
      <c r="V26">
        <f t="shared" si="3"/>
        <v>0.99634570113233345</v>
      </c>
      <c r="Z26">
        <f t="shared" si="10"/>
        <v>273.14999999999998</v>
      </c>
      <c r="AE26">
        <f t="shared" si="7"/>
        <v>3.6609921288669233E-3</v>
      </c>
      <c r="AI26" s="9"/>
    </row>
    <row r="27" spans="1:35">
      <c r="A27">
        <v>-30</v>
      </c>
      <c r="B27">
        <v>1260</v>
      </c>
      <c r="F27" s="4">
        <f t="shared" si="1"/>
        <v>42.656417999999995</v>
      </c>
      <c r="G27" s="3"/>
      <c r="H27" s="5">
        <f t="shared" si="2"/>
        <v>853.12835999999993</v>
      </c>
      <c r="V27">
        <f t="shared" si="3"/>
        <v>0.99589575787655149</v>
      </c>
      <c r="W27">
        <f t="shared" si="4"/>
        <v>853.12835999999993</v>
      </c>
      <c r="X27">
        <f t="shared" si="5"/>
        <v>42.656417999999995</v>
      </c>
      <c r="Z27">
        <f t="shared" si="10"/>
        <v>243.14999999999998</v>
      </c>
      <c r="AB27">
        <f t="shared" si="13"/>
        <v>6.7489100168271072</v>
      </c>
      <c r="AC27">
        <f t="shared" si="6"/>
        <v>3.7531777432731164</v>
      </c>
      <c r="AE27">
        <f t="shared" si="7"/>
        <v>4.1126876413736376E-3</v>
      </c>
      <c r="AG27">
        <f t="shared" si="8"/>
        <v>0.88787997311783584</v>
      </c>
      <c r="AH27">
        <f t="shared" si="9"/>
        <v>6.7489100168271072</v>
      </c>
      <c r="AI27" s="9">
        <f>AC27</f>
        <v>3.7531777432731164</v>
      </c>
    </row>
    <row r="28" spans="1:35">
      <c r="A28">
        <v>-29.9</v>
      </c>
      <c r="B28">
        <v>1261</v>
      </c>
      <c r="F28" s="4">
        <f t="shared" si="1"/>
        <v>42.690272299999997</v>
      </c>
      <c r="G28" s="3"/>
      <c r="H28" s="5">
        <f t="shared" si="2"/>
        <v>853.80544599999996</v>
      </c>
      <c r="V28">
        <f t="shared" si="3"/>
        <v>0.99589744166345295</v>
      </c>
      <c r="W28">
        <f t="shared" si="4"/>
        <v>853.80544599999996</v>
      </c>
      <c r="X28">
        <f t="shared" si="5"/>
        <v>42.690272299999997</v>
      </c>
      <c r="Z28">
        <f t="shared" si="10"/>
        <v>243.24999999999997</v>
      </c>
      <c r="AB28">
        <f t="shared" si="13"/>
        <v>6.7497033528465034</v>
      </c>
      <c r="AC28">
        <f t="shared" si="6"/>
        <v>3.7539710792925121</v>
      </c>
      <c r="AE28">
        <f t="shared" si="7"/>
        <v>4.1109969167523125E-3</v>
      </c>
      <c r="AG28">
        <f t="shared" si="8"/>
        <v>0.88734652603116315</v>
      </c>
      <c r="AH28">
        <f t="shared" si="9"/>
        <v>6.7497033528465034</v>
      </c>
      <c r="AI28" s="9">
        <f>AC28</f>
        <v>3.7539710792925121</v>
      </c>
    </row>
    <row r="29" spans="1:35">
      <c r="A29">
        <v>-30.1</v>
      </c>
      <c r="B29">
        <v>1261</v>
      </c>
      <c r="F29" s="4">
        <f t="shared" si="1"/>
        <v>42.690272299999997</v>
      </c>
      <c r="G29" s="3"/>
      <c r="H29" s="5">
        <f t="shared" si="2"/>
        <v>853.80544599999996</v>
      </c>
      <c r="V29">
        <f t="shared" si="3"/>
        <v>0.99589407270695252</v>
      </c>
      <c r="W29">
        <f t="shared" si="4"/>
        <v>853.80544599999996</v>
      </c>
      <c r="X29">
        <f t="shared" si="5"/>
        <v>42.690272299999997</v>
      </c>
      <c r="Z29">
        <f t="shared" si="10"/>
        <v>243.04999999999998</v>
      </c>
      <c r="AB29">
        <f t="shared" si="13"/>
        <v>6.7497033528465034</v>
      </c>
      <c r="AC29">
        <f t="shared" si="6"/>
        <v>3.7539710792925121</v>
      </c>
      <c r="AE29">
        <f t="shared" si="7"/>
        <v>4.1143797572515944E-3</v>
      </c>
      <c r="AG29">
        <f t="shared" si="8"/>
        <v>0.88734652603116315</v>
      </c>
      <c r="AH29">
        <f t="shared" si="9"/>
        <v>6.7497033528465034</v>
      </c>
      <c r="AI29" s="9">
        <f>AC29</f>
        <v>3.7539710792925121</v>
      </c>
    </row>
    <row r="30" spans="1:35">
      <c r="A30">
        <v>-30.1</v>
      </c>
      <c r="B30">
        <v>1261</v>
      </c>
      <c r="F30" s="4">
        <f t="shared" si="1"/>
        <v>42.690272299999997</v>
      </c>
      <c r="G30" s="3"/>
      <c r="H30" s="5">
        <f t="shared" si="2"/>
        <v>853.80544599999996</v>
      </c>
      <c r="V30">
        <f t="shared" si="3"/>
        <v>0.99589407270695252</v>
      </c>
      <c r="W30">
        <f t="shared" si="4"/>
        <v>853.80544599999996</v>
      </c>
      <c r="X30">
        <f t="shared" si="5"/>
        <v>42.690272299999997</v>
      </c>
      <c r="Z30">
        <f t="shared" si="10"/>
        <v>243.04999999999998</v>
      </c>
      <c r="AB30">
        <f t="shared" si="13"/>
        <v>6.7497033528465034</v>
      </c>
      <c r="AC30">
        <f t="shared" si="6"/>
        <v>3.7539710792925121</v>
      </c>
      <c r="AE30">
        <f t="shared" si="7"/>
        <v>4.1143797572515944E-3</v>
      </c>
      <c r="AG30">
        <f t="shared" si="8"/>
        <v>0.88734652603116315</v>
      </c>
      <c r="AH30">
        <f t="shared" si="9"/>
        <v>6.7497033528465034</v>
      </c>
      <c r="AI30" s="9">
        <f>AC30</f>
        <v>3.7539710792925121</v>
      </c>
    </row>
    <row r="31" spans="1:35">
      <c r="A31">
        <v>-30.1</v>
      </c>
      <c r="B31">
        <v>1260</v>
      </c>
      <c r="F31" s="4">
        <f t="shared" si="1"/>
        <v>42.656417999999995</v>
      </c>
      <c r="G31" s="3"/>
      <c r="H31" s="5">
        <f t="shared" si="2"/>
        <v>853.12835999999993</v>
      </c>
      <c r="V31" t="s">
        <v>18</v>
      </c>
      <c r="W31" t="s">
        <v>16</v>
      </c>
      <c r="X31" t="s">
        <v>17</v>
      </c>
      <c r="AB31" t="s">
        <v>22</v>
      </c>
      <c r="AC31" t="s">
        <v>23</v>
      </c>
      <c r="AE31" s="9" t="s">
        <v>15</v>
      </c>
      <c r="AG31" t="s">
        <v>24</v>
      </c>
      <c r="AH31" t="s">
        <v>22</v>
      </c>
    </row>
    <row r="32" spans="1:35">
      <c r="A32">
        <v>-30.1</v>
      </c>
      <c r="B32">
        <v>1261</v>
      </c>
      <c r="F32" s="4">
        <f t="shared" si="1"/>
        <v>42.690272299999997</v>
      </c>
      <c r="G32" s="3"/>
      <c r="H32" s="5">
        <f t="shared" si="2"/>
        <v>853.80544599999996</v>
      </c>
    </row>
    <row r="33" spans="1:8">
      <c r="A33">
        <v>-30.1</v>
      </c>
      <c r="B33">
        <v>1261</v>
      </c>
      <c r="F33" s="4">
        <f t="shared" si="1"/>
        <v>42.690272299999997</v>
      </c>
      <c r="G33" s="3"/>
      <c r="H33" s="5">
        <f t="shared" si="2"/>
        <v>853.80544599999996</v>
      </c>
    </row>
    <row r="34" spans="1:8">
      <c r="A34">
        <v>-30.1</v>
      </c>
      <c r="B34">
        <v>1261</v>
      </c>
      <c r="F34" s="4">
        <f t="shared" si="1"/>
        <v>42.690272299999997</v>
      </c>
      <c r="G34" s="3"/>
      <c r="H34" s="5">
        <f t="shared" si="2"/>
        <v>853.80544599999996</v>
      </c>
    </row>
    <row r="35" spans="1:8">
      <c r="A35">
        <v>-30.1</v>
      </c>
      <c r="B35">
        <v>1261</v>
      </c>
      <c r="F35" s="4">
        <f t="shared" si="1"/>
        <v>42.690272299999997</v>
      </c>
      <c r="G35" s="3"/>
      <c r="H35" s="5">
        <f t="shared" si="2"/>
        <v>853.80544599999996</v>
      </c>
    </row>
    <row r="36" spans="1:8">
      <c r="A36">
        <v>-30.1</v>
      </c>
      <c r="B36">
        <v>1261</v>
      </c>
      <c r="F36" s="4">
        <f t="shared" si="1"/>
        <v>42.690272299999997</v>
      </c>
      <c r="G36" s="3"/>
      <c r="H36" s="5">
        <f t="shared" si="2"/>
        <v>853.80544599999996</v>
      </c>
    </row>
    <row r="37" spans="1:8">
      <c r="A37">
        <v>-30.1</v>
      </c>
      <c r="B37">
        <v>1261</v>
      </c>
      <c r="F37" s="4">
        <f t="shared" si="1"/>
        <v>42.690272299999997</v>
      </c>
      <c r="G37" s="3"/>
      <c r="H37" s="5">
        <f t="shared" si="2"/>
        <v>853.80544599999996</v>
      </c>
    </row>
    <row r="38" spans="1:8">
      <c r="A38">
        <v>-30.1</v>
      </c>
      <c r="B38">
        <v>1261</v>
      </c>
      <c r="F38" s="4">
        <f t="shared" si="1"/>
        <v>42.690272299999997</v>
      </c>
      <c r="G38" s="3"/>
      <c r="H38" s="5">
        <f t="shared" si="2"/>
        <v>853.80544599999996</v>
      </c>
    </row>
    <row r="39" spans="1:8">
      <c r="A39">
        <v>-30.1</v>
      </c>
      <c r="B39">
        <v>1261</v>
      </c>
      <c r="F39" s="4">
        <f t="shared" si="1"/>
        <v>42.690272299999997</v>
      </c>
      <c r="G39" s="3"/>
      <c r="H39" s="5">
        <f t="shared" si="2"/>
        <v>853.80544599999996</v>
      </c>
    </row>
    <row r="40" spans="1:8">
      <c r="A40">
        <v>-30.1</v>
      </c>
      <c r="B40">
        <v>1261</v>
      </c>
      <c r="F40" s="4">
        <f t="shared" si="1"/>
        <v>42.690272299999997</v>
      </c>
      <c r="G40" s="3"/>
      <c r="H40" s="5">
        <f t="shared" si="2"/>
        <v>853.80544599999996</v>
      </c>
    </row>
    <row r="41" spans="1:8">
      <c r="A41">
        <v>-30.1</v>
      </c>
      <c r="B41">
        <v>1261</v>
      </c>
      <c r="F41" s="4">
        <f t="shared" si="1"/>
        <v>42.690272299999997</v>
      </c>
      <c r="G41" s="3"/>
      <c r="H41" s="5">
        <f t="shared" si="2"/>
        <v>853.80544599999996</v>
      </c>
    </row>
    <row r="42" spans="1:8">
      <c r="A42">
        <v>-30.1</v>
      </c>
      <c r="B42">
        <v>1261</v>
      </c>
      <c r="F42" s="4">
        <f t="shared" si="1"/>
        <v>42.690272299999997</v>
      </c>
      <c r="G42" s="3"/>
      <c r="H42" s="5">
        <f t="shared" si="2"/>
        <v>853.80544599999996</v>
      </c>
    </row>
    <row r="43" spans="1:8">
      <c r="A43">
        <v>-30.1</v>
      </c>
      <c r="B43">
        <v>1261</v>
      </c>
      <c r="F43" s="4">
        <f t="shared" si="1"/>
        <v>42.690272299999997</v>
      </c>
      <c r="G43" s="3"/>
      <c r="H43" s="5">
        <f t="shared" si="2"/>
        <v>853.80544599999996</v>
      </c>
    </row>
    <row r="44" spans="1:8">
      <c r="A44">
        <v>-30.1</v>
      </c>
      <c r="B44">
        <v>1261</v>
      </c>
      <c r="F44" s="4">
        <f t="shared" si="1"/>
        <v>42.690272299999997</v>
      </c>
      <c r="G44" s="3"/>
      <c r="H44" s="5">
        <f t="shared" si="2"/>
        <v>853.80544599999996</v>
      </c>
    </row>
    <row r="45" spans="1:8">
      <c r="A45">
        <v>-30.1</v>
      </c>
      <c r="B45">
        <v>1261</v>
      </c>
      <c r="F45" s="4">
        <f t="shared" si="1"/>
        <v>42.690272299999997</v>
      </c>
      <c r="G45" s="3"/>
      <c r="H45" s="5">
        <f t="shared" si="2"/>
        <v>853.80544599999996</v>
      </c>
    </row>
    <row r="46" spans="1:8">
      <c r="A46">
        <v>-30.1</v>
      </c>
      <c r="B46">
        <v>1261</v>
      </c>
      <c r="F46" s="4">
        <f t="shared" si="1"/>
        <v>42.690272299999997</v>
      </c>
      <c r="G46" s="3"/>
      <c r="H46" s="5">
        <f t="shared" si="2"/>
        <v>853.80544599999996</v>
      </c>
    </row>
    <row r="47" spans="1:8">
      <c r="A47">
        <v>-30.1</v>
      </c>
      <c r="B47">
        <v>1261</v>
      </c>
      <c r="F47" s="4">
        <f t="shared" si="1"/>
        <v>42.690272299999997</v>
      </c>
      <c r="G47" s="3"/>
      <c r="H47" s="5">
        <f t="shared" si="2"/>
        <v>853.80544599999996</v>
      </c>
    </row>
    <row r="48" spans="1:8">
      <c r="A48">
        <v>-30.1</v>
      </c>
      <c r="B48">
        <v>1261</v>
      </c>
      <c r="F48" s="4">
        <f t="shared" si="1"/>
        <v>42.690272299999997</v>
      </c>
      <c r="G48" s="3"/>
      <c r="H48" s="5">
        <f t="shared" si="2"/>
        <v>853.80544599999996</v>
      </c>
    </row>
    <row r="49" spans="1:12">
      <c r="A49">
        <v>-30.1</v>
      </c>
      <c r="B49">
        <v>1261</v>
      </c>
      <c r="F49" s="4">
        <f t="shared" si="1"/>
        <v>42.690272299999997</v>
      </c>
      <c r="G49" s="3"/>
      <c r="H49" s="5">
        <f t="shared" si="2"/>
        <v>853.80544599999996</v>
      </c>
    </row>
    <row r="50" spans="1:12">
      <c r="A50">
        <v>-30.1</v>
      </c>
      <c r="B50">
        <v>1261</v>
      </c>
      <c r="C50" s="2">
        <v>0.67708599999999997</v>
      </c>
      <c r="D50">
        <v>20</v>
      </c>
      <c r="F50" s="4">
        <f t="shared" si="1"/>
        <v>42.690272299999997</v>
      </c>
      <c r="G50" s="3"/>
      <c r="H50" s="5">
        <f t="shared" si="2"/>
        <v>853.80544599999996</v>
      </c>
      <c r="J50" s="3">
        <f>AVERAGE(F1:F50)</f>
        <v>49.108606002173907</v>
      </c>
      <c r="K50" s="3"/>
      <c r="L50" s="3"/>
    </row>
    <row r="51" spans="1:12">
      <c r="A51" s="1" t="s">
        <v>4</v>
      </c>
      <c r="B51" s="1" t="s">
        <v>5</v>
      </c>
      <c r="C51" s="1" t="s">
        <v>6</v>
      </c>
      <c r="D51" s="1" t="s">
        <v>1</v>
      </c>
      <c r="F51" s="1" t="s">
        <v>7</v>
      </c>
      <c r="H51" s="1" t="s">
        <v>8</v>
      </c>
      <c r="J51" s="3"/>
      <c r="K51" s="3"/>
      <c r="L51" s="3"/>
    </row>
    <row r="52" spans="1:12">
      <c r="F52" t="s">
        <v>13</v>
      </c>
      <c r="H52" t="s">
        <v>14</v>
      </c>
      <c r="J52" s="3"/>
      <c r="K52" s="3"/>
      <c r="L52" s="3"/>
    </row>
    <row r="53" spans="1:12">
      <c r="J53" s="3"/>
      <c r="K53" s="3"/>
      <c r="L53" s="3"/>
    </row>
    <row r="54" spans="1:12">
      <c r="J54" s="3"/>
      <c r="K54" s="3"/>
      <c r="L54" s="3"/>
    </row>
    <row r="55" spans="1:12">
      <c r="J55" s="3"/>
      <c r="K55" s="3"/>
      <c r="L55" s="3"/>
    </row>
    <row r="56" spans="1:12">
      <c r="J56" s="3"/>
      <c r="K56" s="3"/>
      <c r="L56" s="3"/>
    </row>
    <row r="57" spans="1:12">
      <c r="J57" s="3"/>
      <c r="K57" s="3"/>
      <c r="L57" s="3"/>
    </row>
    <row r="58" spans="1:12">
      <c r="J58" s="3"/>
      <c r="K58" s="3"/>
      <c r="L58" s="3"/>
    </row>
    <row r="59" spans="1:12">
      <c r="J59" s="3"/>
      <c r="K59" s="3"/>
      <c r="L59" s="3"/>
    </row>
    <row r="60" spans="1:12">
      <c r="J60" s="3"/>
      <c r="K60" s="3"/>
      <c r="L60" s="3"/>
    </row>
    <row r="61" spans="1:12">
      <c r="J61" s="3"/>
      <c r="K61" s="3"/>
      <c r="L61" s="3"/>
    </row>
    <row r="62" spans="1:12">
      <c r="J62" s="3"/>
      <c r="K62" s="3"/>
      <c r="L62" s="3"/>
    </row>
    <row r="63" spans="1:12">
      <c r="J63" s="3"/>
      <c r="K63" s="3"/>
      <c r="L63" s="3"/>
    </row>
    <row r="64" spans="1:12">
      <c r="J64" s="3"/>
      <c r="K64" s="3"/>
      <c r="L64" s="3"/>
    </row>
    <row r="65" spans="1:12">
      <c r="A65" s="9" t="s">
        <v>21</v>
      </c>
      <c r="B65" s="9" t="s">
        <v>5</v>
      </c>
      <c r="C65" s="1" t="s">
        <v>6</v>
      </c>
      <c r="D65" s="1" t="s">
        <v>1</v>
      </c>
      <c r="E65" s="1" t="s">
        <v>8</v>
      </c>
      <c r="F65" s="1" t="s">
        <v>7</v>
      </c>
      <c r="H65" t="s">
        <v>20</v>
      </c>
      <c r="J65" s="3" t="s">
        <v>19</v>
      </c>
      <c r="K65" s="3"/>
      <c r="L65" s="3"/>
    </row>
    <row r="66" spans="1:12">
      <c r="A66">
        <v>18.5</v>
      </c>
      <c r="B66">
        <v>3826</v>
      </c>
      <c r="C66" s="2">
        <v>0.67708599999999997</v>
      </c>
      <c r="D66">
        <v>20</v>
      </c>
      <c r="E66" s="7">
        <f>(B66*C$66)</f>
        <v>2590.5310359999999</v>
      </c>
      <c r="F66" s="5">
        <f>(B66*C$66/D$66)</f>
        <v>129.52655179999999</v>
      </c>
      <c r="H66">
        <f>A66+273.15</f>
        <v>291.64999999999998</v>
      </c>
      <c r="J66" s="3">
        <f>EXP(-1/H66)</f>
        <v>0.99657710415206546</v>
      </c>
      <c r="K66" s="3"/>
      <c r="L66" s="3"/>
    </row>
    <row r="67" spans="1:12">
      <c r="A67">
        <v>16.100000000000001</v>
      </c>
      <c r="B67">
        <v>3134</v>
      </c>
      <c r="E67" s="7">
        <f t="shared" ref="E67:E89" si="14">(B67*C$66)</f>
        <v>2121.9875239999997</v>
      </c>
      <c r="F67" s="5">
        <f t="shared" ref="F67:F89" si="15">(B67*C$66/D$66)</f>
        <v>106.09937619999998</v>
      </c>
      <c r="H67">
        <f t="shared" ref="H67:H89" si="16">A67+273.15</f>
        <v>289.25</v>
      </c>
      <c r="J67" s="3">
        <f t="shared" ref="J67:J89" si="17">EXP(-1/H67)</f>
        <v>0.99654875235309448</v>
      </c>
      <c r="K67" s="3"/>
      <c r="L67" s="3"/>
    </row>
    <row r="68" spans="1:12">
      <c r="A68">
        <v>13.8</v>
      </c>
      <c r="B68">
        <v>2595</v>
      </c>
      <c r="E68" s="7">
        <f t="shared" si="14"/>
        <v>1757.0381699999998</v>
      </c>
      <c r="F68" s="4">
        <f t="shared" si="15"/>
        <v>87.851908499999993</v>
      </c>
      <c r="H68">
        <f t="shared" si="16"/>
        <v>286.95</v>
      </c>
      <c r="J68" s="3">
        <f t="shared" si="17"/>
        <v>0.99652113762497285</v>
      </c>
      <c r="K68" s="3"/>
      <c r="L68" s="3"/>
    </row>
    <row r="69" spans="1:12">
      <c r="A69">
        <v>11.5</v>
      </c>
      <c r="B69">
        <v>2190</v>
      </c>
      <c r="E69" s="7">
        <f t="shared" si="14"/>
        <v>1482.81834</v>
      </c>
      <c r="F69" s="4">
        <f t="shared" si="15"/>
        <v>74.140917000000002</v>
      </c>
      <c r="H69">
        <f t="shared" si="16"/>
        <v>284.64999999999998</v>
      </c>
      <c r="J69" s="3">
        <f t="shared" si="17"/>
        <v>0.99649307742127502</v>
      </c>
      <c r="K69" s="3"/>
      <c r="L69" s="3"/>
    </row>
    <row r="70" spans="1:12">
      <c r="A70">
        <v>8.8000000000000007</v>
      </c>
      <c r="B70">
        <v>1899</v>
      </c>
      <c r="E70" s="7">
        <f t="shared" si="14"/>
        <v>1285.7863139999999</v>
      </c>
      <c r="F70" s="4">
        <f t="shared" si="15"/>
        <v>64.289315700000003</v>
      </c>
      <c r="H70">
        <f t="shared" si="16"/>
        <v>281.95</v>
      </c>
      <c r="J70" s="3">
        <f t="shared" si="17"/>
        <v>0.99645955406768061</v>
      </c>
      <c r="K70" s="3"/>
      <c r="L70" s="3"/>
    </row>
    <row r="71" spans="1:12">
      <c r="A71">
        <v>6.3</v>
      </c>
      <c r="B71">
        <v>1696</v>
      </c>
      <c r="E71" s="7">
        <f t="shared" si="14"/>
        <v>1148.3378559999999</v>
      </c>
      <c r="F71" s="4">
        <f t="shared" si="15"/>
        <v>57.416892799999992</v>
      </c>
      <c r="H71">
        <f t="shared" si="16"/>
        <v>279.45</v>
      </c>
      <c r="J71" s="3">
        <f t="shared" si="17"/>
        <v>0.99642793736455093</v>
      </c>
      <c r="K71" s="3"/>
      <c r="L71" s="3"/>
    </row>
    <row r="72" spans="1:12">
      <c r="A72">
        <v>3.6</v>
      </c>
      <c r="B72">
        <v>1557</v>
      </c>
      <c r="E72" s="7">
        <f t="shared" si="14"/>
        <v>1054.222902</v>
      </c>
      <c r="F72" s="4">
        <f t="shared" si="15"/>
        <v>52.711145099999996</v>
      </c>
      <c r="H72">
        <f t="shared" si="16"/>
        <v>276.75</v>
      </c>
      <c r="J72" s="3">
        <f t="shared" si="17"/>
        <v>0.9963931508965661</v>
      </c>
      <c r="K72" s="3"/>
      <c r="L72" s="3"/>
    </row>
    <row r="73" spans="1:12">
      <c r="A73">
        <v>1</v>
      </c>
      <c r="B73">
        <v>1463</v>
      </c>
      <c r="E73" s="6">
        <f t="shared" si="14"/>
        <v>990.576818</v>
      </c>
      <c r="F73" s="4">
        <f t="shared" si="15"/>
        <v>49.528840899999999</v>
      </c>
      <c r="H73">
        <f t="shared" si="16"/>
        <v>274.14999999999998</v>
      </c>
      <c r="J73" s="3">
        <f t="shared" si="17"/>
        <v>0.9963590063963299</v>
      </c>
      <c r="K73" s="3"/>
      <c r="L73" s="3"/>
    </row>
    <row r="74" spans="1:12">
      <c r="A74">
        <v>-1.6</v>
      </c>
      <c r="B74">
        <v>1399</v>
      </c>
      <c r="E74" s="6">
        <f t="shared" si="14"/>
        <v>947.24331399999994</v>
      </c>
      <c r="F74" s="4">
        <f t="shared" si="15"/>
        <v>47.362165699999998</v>
      </c>
      <c r="H74">
        <f t="shared" si="16"/>
        <v>271.54999999999995</v>
      </c>
      <c r="J74" s="3">
        <f t="shared" si="17"/>
        <v>0.99632420925575205</v>
      </c>
      <c r="K74" s="3"/>
      <c r="L74" s="3"/>
    </row>
    <row r="75" spans="1:12">
      <c r="A75">
        <v>-5.6</v>
      </c>
      <c r="B75">
        <v>1356</v>
      </c>
      <c r="E75" s="6">
        <f t="shared" si="14"/>
        <v>918.12861599999997</v>
      </c>
      <c r="F75" s="4">
        <f t="shared" si="15"/>
        <v>45.906430799999995</v>
      </c>
      <c r="H75">
        <f t="shared" si="16"/>
        <v>267.54999999999995</v>
      </c>
      <c r="J75" s="3">
        <f t="shared" si="17"/>
        <v>0.99626935706762398</v>
      </c>
      <c r="K75" s="3"/>
      <c r="L75" s="3"/>
    </row>
    <row r="76" spans="1:12">
      <c r="A76">
        <v>-8</v>
      </c>
      <c r="B76">
        <v>1327</v>
      </c>
      <c r="E76" s="6">
        <f t="shared" si="14"/>
        <v>898.49312199999997</v>
      </c>
      <c r="F76" s="4">
        <f t="shared" si="15"/>
        <v>44.9246561</v>
      </c>
      <c r="H76">
        <f t="shared" si="16"/>
        <v>265.14999999999998</v>
      </c>
      <c r="J76" s="3">
        <f t="shared" si="17"/>
        <v>0.99623565286311688</v>
      </c>
      <c r="K76" s="3"/>
      <c r="L76" s="3"/>
    </row>
    <row r="77" spans="1:12">
      <c r="A77">
        <v>-11.5</v>
      </c>
      <c r="B77">
        <v>1307</v>
      </c>
      <c r="E77" s="6">
        <f t="shared" si="14"/>
        <v>884.95140199999992</v>
      </c>
      <c r="F77" s="4">
        <f t="shared" si="15"/>
        <v>44.247570099999997</v>
      </c>
      <c r="H77">
        <f t="shared" si="16"/>
        <v>261.64999999999998</v>
      </c>
      <c r="J77" s="3">
        <f t="shared" si="17"/>
        <v>0.99618539467831224</v>
      </c>
      <c r="K77" s="3"/>
      <c r="L77" s="3"/>
    </row>
    <row r="78" spans="1:12">
      <c r="A78">
        <v>-13.1</v>
      </c>
      <c r="B78">
        <v>1293</v>
      </c>
      <c r="E78" s="6">
        <f t="shared" si="14"/>
        <v>875.47219799999993</v>
      </c>
      <c r="F78" s="4">
        <f t="shared" si="15"/>
        <v>43.773609899999997</v>
      </c>
      <c r="H78">
        <f t="shared" si="16"/>
        <v>260.04999999999995</v>
      </c>
      <c r="J78" s="3">
        <f t="shared" si="17"/>
        <v>0.9961619697942854</v>
      </c>
      <c r="K78" s="3"/>
      <c r="L78" s="3"/>
    </row>
    <row r="79" spans="1:12">
      <c r="A79">
        <v>-16</v>
      </c>
      <c r="B79">
        <v>1284</v>
      </c>
      <c r="E79" s="6">
        <f t="shared" si="14"/>
        <v>869.378424</v>
      </c>
      <c r="F79" s="4">
        <f t="shared" si="15"/>
        <v>43.468921199999997</v>
      </c>
      <c r="H79">
        <f t="shared" si="16"/>
        <v>257.14999999999998</v>
      </c>
      <c r="J79" s="3">
        <f t="shared" si="17"/>
        <v>0.99611877064921617</v>
      </c>
      <c r="K79" s="3"/>
      <c r="L79" s="3"/>
    </row>
    <row r="80" spans="1:12">
      <c r="A80">
        <v>-18.3</v>
      </c>
      <c r="B80">
        <v>1277</v>
      </c>
      <c r="E80" s="6">
        <f t="shared" si="14"/>
        <v>864.638822</v>
      </c>
      <c r="F80" s="4">
        <f t="shared" si="15"/>
        <v>43.2319411</v>
      </c>
      <c r="H80">
        <f t="shared" si="16"/>
        <v>254.84999999999997</v>
      </c>
      <c r="J80" s="3">
        <f t="shared" si="17"/>
        <v>0.99608381155493664</v>
      </c>
      <c r="K80" s="3"/>
      <c r="L80" s="3"/>
    </row>
    <row r="81" spans="1:12">
      <c r="A81">
        <v>-20.9</v>
      </c>
      <c r="B81">
        <v>1272</v>
      </c>
      <c r="E81" s="6">
        <f t="shared" si="14"/>
        <v>861.25339199999996</v>
      </c>
      <c r="F81" s="4">
        <f t="shared" si="15"/>
        <v>43.0626696</v>
      </c>
      <c r="H81">
        <f t="shared" si="16"/>
        <v>252.24999999999997</v>
      </c>
      <c r="J81" s="3">
        <f t="shared" si="17"/>
        <v>0.99604352643743077</v>
      </c>
      <c r="K81" s="3"/>
      <c r="L81" s="3"/>
    </row>
    <row r="82" spans="1:12">
      <c r="A82">
        <v>-22.3</v>
      </c>
      <c r="B82">
        <v>1269</v>
      </c>
      <c r="E82" s="6">
        <f t="shared" si="14"/>
        <v>859.22213399999998</v>
      </c>
      <c r="F82" s="4">
        <f t="shared" si="15"/>
        <v>42.961106700000002</v>
      </c>
      <c r="H82">
        <f t="shared" si="16"/>
        <v>250.84999999999997</v>
      </c>
      <c r="J82" s="3">
        <f t="shared" si="17"/>
        <v>0.99602148924478295</v>
      </c>
      <c r="K82" s="3"/>
      <c r="L82" s="3"/>
    </row>
    <row r="83" spans="1:12">
      <c r="A83">
        <v>-24.3</v>
      </c>
      <c r="B83">
        <v>1267</v>
      </c>
      <c r="E83" s="6">
        <f t="shared" si="14"/>
        <v>857.86796199999992</v>
      </c>
      <c r="F83" s="4">
        <f t="shared" si="15"/>
        <v>42.893398099999999</v>
      </c>
      <c r="H83">
        <f t="shared" si="16"/>
        <v>248.84999999999997</v>
      </c>
      <c r="J83" s="3">
        <f t="shared" si="17"/>
        <v>0.99598957827545465</v>
      </c>
      <c r="K83" s="3"/>
      <c r="L83" s="3"/>
    </row>
    <row r="84" spans="1:12">
      <c r="A84">
        <v>-26.1</v>
      </c>
      <c r="B84">
        <v>1265</v>
      </c>
      <c r="E84" s="6">
        <f t="shared" si="14"/>
        <v>856.51378999999997</v>
      </c>
      <c r="F84" s="4">
        <f t="shared" si="15"/>
        <v>42.825689499999996</v>
      </c>
      <c r="H84">
        <f t="shared" si="16"/>
        <v>247.04999999999998</v>
      </c>
      <c r="J84" s="3">
        <f t="shared" si="17"/>
        <v>0.99596041754233844</v>
      </c>
      <c r="K84" s="3"/>
      <c r="L84" s="3"/>
    </row>
    <row r="85" spans="1:12">
      <c r="A85">
        <v>-27.5</v>
      </c>
      <c r="B85">
        <v>1264</v>
      </c>
      <c r="E85" s="6">
        <f t="shared" si="14"/>
        <v>855.83670399999994</v>
      </c>
      <c r="F85" s="4">
        <f t="shared" si="15"/>
        <v>42.791835199999994</v>
      </c>
      <c r="H85">
        <f t="shared" si="16"/>
        <v>245.64999999999998</v>
      </c>
      <c r="J85" s="3">
        <f t="shared" si="17"/>
        <v>0.99593744212133117</v>
      </c>
      <c r="K85" s="3"/>
      <c r="L85" s="3"/>
    </row>
    <row r="86" spans="1:12">
      <c r="A86">
        <v>-28.7</v>
      </c>
      <c r="B86">
        <v>1263</v>
      </c>
      <c r="E86" s="6">
        <f t="shared" si="14"/>
        <v>855.15961799999991</v>
      </c>
      <c r="F86" s="4">
        <f t="shared" si="15"/>
        <v>42.757980899999993</v>
      </c>
      <c r="H86">
        <f t="shared" si="16"/>
        <v>244.45</v>
      </c>
      <c r="J86" s="3">
        <f t="shared" si="17"/>
        <v>0.99591753987228315</v>
      </c>
      <c r="K86" s="3"/>
      <c r="L86" s="3"/>
    </row>
    <row r="87" spans="1:12">
      <c r="A87">
        <v>-29.8</v>
      </c>
      <c r="B87">
        <v>1262</v>
      </c>
      <c r="E87" s="6">
        <f t="shared" si="14"/>
        <v>854.48253199999999</v>
      </c>
      <c r="F87" s="4">
        <f t="shared" si="15"/>
        <v>42.724126599999998</v>
      </c>
      <c r="H87">
        <f t="shared" si="16"/>
        <v>243.34999999999997</v>
      </c>
      <c r="J87" s="3">
        <f t="shared" si="17"/>
        <v>0.9958991240693581</v>
      </c>
      <c r="K87" s="3"/>
      <c r="L87" s="3"/>
    </row>
    <row r="88" spans="1:12">
      <c r="A88">
        <v>-29.9</v>
      </c>
      <c r="B88">
        <v>1261</v>
      </c>
      <c r="E88" s="6">
        <f t="shared" si="14"/>
        <v>853.80544599999996</v>
      </c>
      <c r="F88" s="4">
        <f t="shared" si="15"/>
        <v>42.690272299999997</v>
      </c>
      <c r="H88">
        <f t="shared" si="16"/>
        <v>243.24999999999997</v>
      </c>
      <c r="J88" s="3">
        <f t="shared" si="17"/>
        <v>0.99589744166345295</v>
      </c>
      <c r="K88" s="3"/>
      <c r="L88" s="3"/>
    </row>
    <row r="89" spans="1:12">
      <c r="A89">
        <v>-30</v>
      </c>
      <c r="B89">
        <v>1260</v>
      </c>
      <c r="E89" s="6">
        <f t="shared" si="14"/>
        <v>853.12835999999993</v>
      </c>
      <c r="F89" s="4">
        <f t="shared" si="15"/>
        <v>42.656417999999995</v>
      </c>
      <c r="H89">
        <f t="shared" si="16"/>
        <v>243.14999999999998</v>
      </c>
      <c r="J89" s="3">
        <f t="shared" si="17"/>
        <v>0.99589575787655149</v>
      </c>
      <c r="K89" s="3"/>
      <c r="L89" s="3"/>
    </row>
    <row r="90" spans="1:12">
      <c r="F90" s="4">
        <f xml:space="preserve"> AVERAGE(F66:F89)</f>
        <v>54.993489158333318</v>
      </c>
      <c r="J90" s="3"/>
      <c r="K90" s="3"/>
      <c r="L90" s="3"/>
    </row>
    <row r="91" spans="1:12">
      <c r="F91" s="4">
        <f>STDEV(F66:F89)</f>
        <v>22.678889666805787</v>
      </c>
      <c r="J91" s="3"/>
      <c r="K91" s="3"/>
      <c r="L91" s="3"/>
    </row>
    <row r="92" spans="1:12">
      <c r="J92" s="3"/>
      <c r="K92" s="3"/>
      <c r="L92" s="3"/>
    </row>
    <row r="93" spans="1:12">
      <c r="J93" s="3"/>
      <c r="K93" s="3"/>
      <c r="L93" s="3"/>
    </row>
    <row r="94" spans="1:12">
      <c r="J94" s="3"/>
      <c r="K94" s="3"/>
      <c r="L94" s="3"/>
    </row>
    <row r="95" spans="1:12">
      <c r="J95" s="3"/>
      <c r="K95" s="3"/>
      <c r="L95" s="3"/>
    </row>
    <row r="96" spans="1:12">
      <c r="J96" s="3"/>
      <c r="K96" s="3"/>
      <c r="L96" s="3"/>
    </row>
    <row r="97" spans="10:12">
      <c r="J97" s="3"/>
      <c r="K97" s="3"/>
      <c r="L97" s="3"/>
    </row>
    <row r="98" spans="10:12">
      <c r="J98" s="3"/>
      <c r="K98" s="3"/>
      <c r="L98" s="3"/>
    </row>
    <row r="99" spans="10:12">
      <c r="J99" s="3"/>
      <c r="K99" s="3"/>
      <c r="L99" s="3"/>
    </row>
  </sheetData>
  <pageMargins left="0.7" right="0.7" top="0.75" bottom="0.75" header="0.3" footer="0.3"/>
  <pageSetup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 Buntic</dc:creator>
  <cp:lastModifiedBy>Nick</cp:lastModifiedBy>
  <dcterms:created xsi:type="dcterms:W3CDTF">2017-09-22T22:35:13Z</dcterms:created>
  <dcterms:modified xsi:type="dcterms:W3CDTF">2017-10-20T20:18:28Z</dcterms:modified>
</cp:coreProperties>
</file>